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slKUErGZpg5nCZMFpve5AMuL5stJzWDaVZYrWIpeDzeQ4uIoUNmKZ4yGBz99rGg3uGmYR/tX5hwYDqONsO305g==" workbookSaltValue="DQQ/qq9VXF/Nd1KT/R4Of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AH13" i="16"/>
  <c r="AC20" i="20"/>
  <c r="AL20" i="20"/>
  <c r="E20" i="20"/>
  <c r="BD9" i="8" l="1"/>
  <c r="H17" i="2"/>
  <c r="BG15" i="8"/>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<sst xmlns="http://schemas.openxmlformats.org/spreadsheetml/2006/main" count="2066" uniqueCount="905">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</sst>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hFAT4MrMZMbQErI0tc2R2acXwqZm+24QeJzMcqhUspPDAVH+ZMPxVmQxJEe8SdeuqPWpSNrvltqLrBjhCmzCA==" saltValue="uSc0cIrpD1ihUv8fdZ/X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23.6937650706166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27</v>
      </c>
      <c r="F10" s="230">
        <f>IF(ISNUMBER(Datos!K10),Datos!K10," - ")</f>
        <v>26</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7.6923076923076927E-2</v>
      </c>
      <c r="L10" s="1201">
        <f>IF(ISNUMBER(NºAsuntos!I10/NºAsuntos!G10),(NºAsuntos!I10/NºAsuntos!G10)*11," - ")</f>
        <v>5.9230769230769225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0</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27</v>
      </c>
      <c r="F13" s="1208">
        <f>SUBTOTAL(9,F9:F12)</f>
        <v>26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1719</v>
      </c>
      <c r="D15" s="229">
        <f>IF(ISNUMBER(IF(D_I="SI",Datos!I15,Datos!I15+Datos!AC15)),IF(D_I="SI",Datos!I15,Datos!I15+Datos!AC15)," - ")</f>
        <v>1691</v>
      </c>
      <c r="E15" s="230">
        <f>IF(ISNUMBER(IF(D_I="SI",Datos!J15,Datos!J15+Datos!AD15)),IF(D_I="SI",Datos!J15,Datos!J15+Datos!AD15)," - ")</f>
        <v>3336</v>
      </c>
      <c r="F15" s="230">
        <f>IF(ISNUMBER(IF(D_I="SI",Datos!K15,Datos!K15+Datos!AE15)),IF(D_I="SI",Datos!K15,Datos!K15+Datos!AE15)," - ")</f>
        <v>3376</v>
      </c>
      <c r="G15" s="1189" t="str">
        <f>IF(Datos!E15&lt;&gt;"",Datos!E15,Datos!D15)</f>
        <v>03</v>
      </c>
      <c r="H15" s="231">
        <f>IF(ISNUMBER(IF(D_I="SI",Datos!L15,Datos!L15+Datos!AF15)),IF(D_I="SI",Datos!L15,Datos!L15+Datos!AF15)," - ")</f>
        <v>1679</v>
      </c>
      <c r="I15" s="1199" t="str">
        <f>IF(ISNUMBER(Datos!AS15/Datos!BM15),Datos!AS15/Datos!BM15," - ")</f>
        <v xml:space="preserve"> - </v>
      </c>
      <c r="J15" s="1200">
        <f>IF(ISNUMBER(Datos!BY15/Datos!CN15),Datos!BY15/Datos!CN15," - ")</f>
        <v>0</v>
      </c>
      <c r="K15" s="234">
        <f t="shared" ref="K15:K17" si="3">IF(ISNUMBER((E15-F15)/C15),(E15-F15)/C15," - ")</f>
        <v>-2.326934264107039E-2</v>
      </c>
      <c r="L15" s="1201">
        <f>IF(ISNUMBER(NºAsuntos!I15/NºAsuntos!G15),(NºAsuntos!I15/NºAsuntos!G15)*11," - ")</f>
        <v>5.4706753554502372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v>
      </c>
      <c r="D16" s="229">
        <f>IF(ISNUMBER(IF(D_I="SI",Datos!I16,Datos!I16+Datos!AC16)),IF(D_I="SI",Datos!I16,Datos!I16+Datos!AC16)," - ")</f>
        <v>1</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104</v>
      </c>
      <c r="D17" s="229">
        <f>IF(ISNUMBER(IF(D_I="SI",Datos!I17,Datos!I17+Datos!AC17)),IF(D_I="SI",Datos!I17,Datos!I17+Datos!AC17)," - ")</f>
        <v>100</v>
      </c>
      <c r="E17" s="230">
        <f>IF(ISNUMBER(IF(D_I="SI",Datos!J17,Datos!J17+Datos!AD17)),IF(D_I="SI",Datos!J17,Datos!J17+Datos!AD17)," - ")</f>
        <v>135</v>
      </c>
      <c r="F17" s="230">
        <f>IF(ISNUMBER(IF(D_I="SI",Datos!K17,Datos!K17+Datos!AE17)),IF(D_I="SI",Datos!K17,Datos!K17+Datos!AE17)," - ")</f>
        <v>150</v>
      </c>
      <c r="G17" s="1189" t="str">
        <f>IF(Datos!E17&lt;&gt;"",Datos!E17,Datos!D17)</f>
        <v>37</v>
      </c>
      <c r="H17" s="231">
        <f>IF(ISNUMBER(IF(D_I="SI",Datos!L17,Datos!L17+Datos!AF17)),IF(D_I="SI",Datos!L17,Datos!L17+Datos!AF17)," - ")</f>
        <v>89</v>
      </c>
      <c r="I17" s="1199" t="str">
        <f>IF(ISNUMBER(Datos!AS17/Datos!BM17),Datos!AS17/Datos!BM17," - ")</f>
        <v xml:space="preserve"> - </v>
      </c>
      <c r="J17" s="1200" t="str">
        <f>IF(ISNUMBER((Datos!BY17+Datos!BZ17)/Datos!CN17),(Datos!BY17+Datos!BZ17)/Datos!CN17," - ")</f>
        <v xml:space="preserve"> - </v>
      </c>
      <c r="K17" s="234">
        <f t="shared" si="3"/>
        <v>-0.14423076923076922</v>
      </c>
      <c r="L17" s="1201">
        <f>IF(ISNUMBER(NºAsuntos!I17/NºAsuntos!G17),(NºAsuntos!I17/NºAsuntos!G17)*11," - ")</f>
        <v>6.5266666666666673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1824</v>
      </c>
      <c r="D18" s="1206">
        <f>SUBTOTAL(9,D15:D17)</f>
        <v>1792</v>
      </c>
      <c r="E18" s="1207">
        <f>SUBTOTAL(9,E15:E17)</f>
        <v>3471</v>
      </c>
      <c r="F18" s="1207">
        <f>SUBTOTAL(9,F15:F17)</f>
        <v>3526</v>
      </c>
      <c r="G18" s="1209" t="str">
        <f ca="1">INDIRECT(CONCATENATE("G",ROW()-1))</f>
        <v>37</v>
      </c>
      <c r="H18" s="1210">
        <f ca="1">SUMIF(G$14:G17,G18,H$14:H17)</f>
        <v>89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1837</v>
      </c>
      <c r="D19" s="1228">
        <f>SUBTOTAL(9,D9:D18)</f>
        <v>1805</v>
      </c>
      <c r="E19" s="1229">
        <f>SUBTOTAL(9,E9:E18)</f>
        <v>3498</v>
      </c>
      <c r="F19" s="1229">
        <f>SUBTOTAL(9,F9:F18)</f>
        <v>3552</v>
      </c>
      <c r="G19" s="1230"/>
      <c r="H19" s="1231">
        <f ca="1">SUMIF(B9:B18,"TOTAL",H9:H18)</f>
        <v>89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fodBlZxtke2FHdY1iyKDO0iBcj++k3SMyNUVEMlMbW6/sSRaD9uX64jKqxeL86ThHhUIFpJnjG1O6IfCVRaiPg==" saltValue="kZC8AOdPgycrlx+3XCjBU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TCOSmm7EQwVKm7WCNPJ7FcwqqRC8fL/LFKQKU4ehwSWxk9fpUgg3B2V97cL+UfuJ0YRRHrjAnj3XYabogsdzw==" saltValue="QHhFl8QNtG0+dgk5dlES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6172</v>
      </c>
      <c r="J9" s="185">
        <v>2658</v>
      </c>
      <c r="K9" s="185">
        <v>2773</v>
      </c>
      <c r="L9" s="185">
        <v>6057</v>
      </c>
      <c r="M9" s="185">
        <v>506</v>
      </c>
      <c r="N9" s="185">
        <v>1890</v>
      </c>
      <c r="O9" s="185">
        <v>663</v>
      </c>
      <c r="P9" s="185">
        <v>329</v>
      </c>
      <c r="Q9" s="185">
        <v>378</v>
      </c>
      <c r="R9" s="185">
        <v>6819</v>
      </c>
      <c r="S9" s="185">
        <v>4414</v>
      </c>
      <c r="T9" s="185">
        <v>2549</v>
      </c>
      <c r="U9" s="185">
        <v>2515</v>
      </c>
      <c r="V9" s="185">
        <v>4448</v>
      </c>
      <c r="W9" s="185">
        <v>477</v>
      </c>
      <c r="X9" s="192">
        <v>1530</v>
      </c>
      <c r="Y9" s="195">
        <v>174</v>
      </c>
      <c r="Z9" s="185">
        <v>152</v>
      </c>
      <c r="AA9" s="185">
        <v>130</v>
      </c>
      <c r="AB9" s="185">
        <v>196</v>
      </c>
      <c r="AC9" s="185">
        <v>0</v>
      </c>
      <c r="AD9" s="185">
        <v>0</v>
      </c>
      <c r="AE9" s="185">
        <v>0</v>
      </c>
      <c r="AF9" s="192">
        <v>0</v>
      </c>
      <c r="AG9" s="195">
        <v>164</v>
      </c>
      <c r="AH9" s="185">
        <v>143</v>
      </c>
      <c r="AI9" s="185">
        <v>156</v>
      </c>
      <c r="AJ9" s="196">
        <v>151</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4578</v>
      </c>
      <c r="AZ9" s="124">
        <f>IF(ISNUMBER(IF(J_V="SI",T9,T9+AH9)),IF(J_V="SI",T9,T9+AH9)," - ")</f>
        <v>2692</v>
      </c>
      <c r="BA9" s="125">
        <f>IF(ISNUMBER(IF(J_V="SI",U9,U9+AI9)),IF(J_V="SI",U9,U9+AI9)," - ")</f>
        <v>2671</v>
      </c>
      <c r="BB9" s="125">
        <f>IF(ISNUMBER(IF(J_V="SI",V9,V9+AJ9)),IF(J_V="SI",V9,V9+AJ9)," - ")</f>
        <v>4599</v>
      </c>
      <c r="BC9" s="126">
        <f>IF(ISNUMBER(X9),X9," - ")</f>
        <v>1530</v>
      </c>
      <c r="BD9" s="127">
        <f>IF(ISNUMBER(BA9/AZ9),BA9/AZ9," - ")</f>
        <v>0.9921991084695394</v>
      </c>
      <c r="BE9" s="128">
        <f>IF(ISNUMBER(BB9/BA9),BB9/BA9, " - ")</f>
        <v>1.7218270310745039</v>
      </c>
      <c r="BF9" s="128">
        <f>IF(ISNUMBER(BC9/BA9),BC9/BA9, " - ")</f>
        <v>0.57281916885061779</v>
      </c>
      <c r="BG9" s="200">
        <f>IF(ISNUMBER((AY9+AZ9)/BA9),(AY9+AZ9)/BA9," - ")</f>
        <v>2.7218270310745041</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27</v>
      </c>
      <c r="K10" s="185">
        <v>26</v>
      </c>
      <c r="L10" s="185">
        <v>14</v>
      </c>
      <c r="M10" s="185">
        <v>13</v>
      </c>
      <c r="N10" s="185">
        <v>12</v>
      </c>
      <c r="O10" s="185">
        <v>1</v>
      </c>
      <c r="P10" s="185">
        <v>8</v>
      </c>
      <c r="Q10" s="185">
        <v>1</v>
      </c>
      <c r="R10" s="185">
        <v>31</v>
      </c>
      <c r="S10" s="185">
        <v>25</v>
      </c>
      <c r="T10" s="185">
        <v>18</v>
      </c>
      <c r="U10" s="185">
        <v>25</v>
      </c>
      <c r="V10" s="185">
        <v>18</v>
      </c>
      <c r="W10" s="185">
        <v>10</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25</v>
      </c>
      <c r="AZ10" s="130">
        <f t="shared" si="0"/>
        <v>18</v>
      </c>
      <c r="BA10" s="130">
        <f t="shared" si="0"/>
        <v>25</v>
      </c>
      <c r="BB10" s="130">
        <f t="shared" si="0"/>
        <v>18</v>
      </c>
      <c r="BC10" s="126">
        <f t="shared" si="0"/>
        <v>10</v>
      </c>
      <c r="BD10" s="127">
        <f>IF(ISNUMBER(BA10/AZ10),BA10/AZ10," - ")</f>
        <v>1.3888888888888888</v>
      </c>
      <c r="BE10" s="128">
        <f>IF(ISNUMBER(BB10/BA10),BB10/BA10, " - ")</f>
        <v>0.72</v>
      </c>
      <c r="BF10" s="128">
        <f>IF(ISNUMBER(BC10/BA10),BC10/BA10, " - ")</f>
        <v>0.4</v>
      </c>
      <c r="BG10" s="200">
        <f>IF(ISNUMBER((AY10+AZ10)/BA10),(AY10+AZ10)/BA10," - ")</f>
        <v>1.72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v>
      </c>
      <c r="J12" s="187">
        <v>0</v>
      </c>
      <c r="K12" s="187">
        <v>1</v>
      </c>
      <c r="L12" s="187">
        <v>0</v>
      </c>
      <c r="M12" s="187">
        <v>0</v>
      </c>
      <c r="N12" s="187">
        <v>4</v>
      </c>
      <c r="O12" s="185">
        <v>31</v>
      </c>
      <c r="P12" s="187">
        <v>0</v>
      </c>
      <c r="Q12" s="187">
        <v>45</v>
      </c>
      <c r="R12" s="187">
        <v>614</v>
      </c>
      <c r="S12" s="187">
        <v>1</v>
      </c>
      <c r="T12" s="187">
        <v>0</v>
      </c>
      <c r="U12" s="187">
        <v>0</v>
      </c>
      <c r="V12" s="187">
        <v>1</v>
      </c>
      <c r="W12" s="187">
        <v>0</v>
      </c>
      <c r="X12" s="193">
        <v>0</v>
      </c>
      <c r="Y12" s="195">
        <v>0</v>
      </c>
      <c r="Z12" s="185">
        <v>3</v>
      </c>
      <c r="AA12" s="185">
        <v>3</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803</v>
      </c>
      <c r="AT12" s="207"/>
      <c r="AU12" s="206"/>
      <c r="AV12" s="207"/>
      <c r="AW12" s="206"/>
      <c r="AX12" s="207"/>
      <c r="AY12" s="127">
        <f t="shared" si="1"/>
        <v>1</v>
      </c>
      <c r="AZ12" s="128">
        <f t="shared" si="1"/>
        <v>0</v>
      </c>
      <c r="BA12" s="128">
        <f t="shared" si="1"/>
        <v>0</v>
      </c>
      <c r="BB12" s="128">
        <f t="shared" si="1"/>
        <v>1</v>
      </c>
      <c r="BC12" s="126">
        <f>IF(ISNUMBER(X12),X12," - ")</f>
        <v>0</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6186</v>
      </c>
      <c r="J13" s="188">
        <f t="shared" si="6"/>
        <v>2685</v>
      </c>
      <c r="K13" s="188">
        <f t="shared" si="6"/>
        <v>2800</v>
      </c>
      <c r="L13" s="188">
        <f t="shared" si="6"/>
        <v>6071</v>
      </c>
      <c r="M13" s="188">
        <f t="shared" si="6"/>
        <v>519</v>
      </c>
      <c r="N13" s="188">
        <f t="shared" si="6"/>
        <v>1906</v>
      </c>
      <c r="O13" s="188">
        <f t="shared" si="6"/>
        <v>695</v>
      </c>
      <c r="P13" s="188">
        <f t="shared" si="6"/>
        <v>337</v>
      </c>
      <c r="Q13" s="188">
        <f t="shared" si="6"/>
        <v>424</v>
      </c>
      <c r="R13" s="188">
        <f t="shared" si="6"/>
        <v>7464</v>
      </c>
      <c r="S13" s="188">
        <f t="shared" si="6"/>
        <v>4440</v>
      </c>
      <c r="T13" s="188">
        <f t="shared" si="6"/>
        <v>2567</v>
      </c>
      <c r="U13" s="188">
        <f t="shared" si="6"/>
        <v>2540</v>
      </c>
      <c r="V13" s="188">
        <f t="shared" si="6"/>
        <v>4467</v>
      </c>
      <c r="W13" s="188">
        <f t="shared" si="6"/>
        <v>487</v>
      </c>
      <c r="X13" s="188">
        <f t="shared" si="6"/>
        <v>1537</v>
      </c>
      <c r="Y13" s="188">
        <f t="shared" si="6"/>
        <v>174</v>
      </c>
      <c r="Z13" s="188">
        <f t="shared" si="6"/>
        <v>155</v>
      </c>
      <c r="AA13" s="188">
        <f t="shared" si="6"/>
        <v>133</v>
      </c>
      <c r="AB13" s="188">
        <f t="shared" si="6"/>
        <v>196</v>
      </c>
      <c r="AC13" s="188">
        <f t="shared" si="6"/>
        <v>0</v>
      </c>
      <c r="AD13" s="188">
        <f t="shared" si="6"/>
        <v>0</v>
      </c>
      <c r="AE13" s="188">
        <f t="shared" si="6"/>
        <v>0</v>
      </c>
      <c r="AF13" s="188">
        <f>SUBTOTAL(9,AF9:AF12)</f>
        <v>0</v>
      </c>
      <c r="AG13" s="188">
        <f t="shared" ref="AG13:AT13" si="7">SUBTOTAL(9,AG8:AG12)</f>
        <v>164</v>
      </c>
      <c r="AH13" s="188">
        <f t="shared" si="7"/>
        <v>143</v>
      </c>
      <c r="AI13" s="188">
        <f t="shared" si="7"/>
        <v>156</v>
      </c>
      <c r="AJ13" s="188">
        <f t="shared" si="7"/>
        <v>151</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4604</v>
      </c>
      <c r="AZ13" s="188">
        <f>SUBTOTAL(9,AZ8:AZ12)</f>
        <v>2710</v>
      </c>
      <c r="BA13" s="188">
        <f>SUBTOTAL(9,BA8:BA12)</f>
        <v>2696</v>
      </c>
      <c r="BB13" s="188">
        <f>SUBTOTAL(9,BB8:BB12)</f>
        <v>4618</v>
      </c>
      <c r="BC13" s="188">
        <f>SUBTOTAL(9,BC8:BC12)</f>
        <v>1540</v>
      </c>
      <c r="BD13" s="209">
        <f>IF(ISNUMBER(BA13/AZ13),BA13/AZ13," - ")</f>
        <v>0.99483394833948335</v>
      </c>
      <c r="BE13" s="210">
        <f>IF(ISNUMBER(BB13/BA13),BB13/BA13, " - ")</f>
        <v>1.7129080118694362</v>
      </c>
      <c r="BF13" s="210">
        <f>IF(ISNUMBER(BC13/BA13),BC13/BA13, " - ")</f>
        <v>0.57121661721068251</v>
      </c>
      <c r="BG13" s="211">
        <f>IF(ISNUMBER((AY13+AZ13)/BA13),(AY13+AZ13)/BA13," - ")</f>
        <v>2.7129080118694362</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1691</v>
      </c>
      <c r="J15" s="187">
        <v>3336</v>
      </c>
      <c r="K15" s="187">
        <v>3376</v>
      </c>
      <c r="L15" s="187">
        <v>1679</v>
      </c>
      <c r="M15" s="187">
        <v>335</v>
      </c>
      <c r="N15" s="187">
        <v>2384</v>
      </c>
      <c r="O15" s="185">
        <v>41</v>
      </c>
      <c r="P15" s="187">
        <v>110</v>
      </c>
      <c r="Q15" s="187">
        <v>86</v>
      </c>
      <c r="R15" s="187">
        <v>410</v>
      </c>
      <c r="S15" s="187">
        <v>1543</v>
      </c>
      <c r="T15" s="187">
        <v>3275</v>
      </c>
      <c r="U15" s="187">
        <v>3391</v>
      </c>
      <c r="V15" s="187">
        <v>1456</v>
      </c>
      <c r="W15" s="187">
        <v>412</v>
      </c>
      <c r="X15" s="193">
        <v>2235</v>
      </c>
      <c r="Y15" s="206">
        <v>0</v>
      </c>
      <c r="Z15" s="187">
        <v>0</v>
      </c>
      <c r="AA15" s="187">
        <v>0</v>
      </c>
      <c r="AB15" s="187">
        <v>0</v>
      </c>
      <c r="AC15" s="187">
        <v>0</v>
      </c>
      <c r="AD15" s="187">
        <v>126</v>
      </c>
      <c r="AE15" s="187">
        <v>126</v>
      </c>
      <c r="AF15" s="193">
        <v>0</v>
      </c>
      <c r="AG15" s="206">
        <v>0</v>
      </c>
      <c r="AH15" s="187">
        <v>0</v>
      </c>
      <c r="AI15" s="187">
        <v>0</v>
      </c>
      <c r="AJ15" s="207">
        <v>0</v>
      </c>
      <c r="AK15" s="186">
        <v>0</v>
      </c>
      <c r="AL15" s="187">
        <v>189</v>
      </c>
      <c r="AM15" s="187">
        <v>189</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1543</v>
      </c>
      <c r="AZ15" s="130">
        <f t="shared" si="9"/>
        <v>3275</v>
      </c>
      <c r="BA15" s="130">
        <f t="shared" si="9"/>
        <v>3391</v>
      </c>
      <c r="BB15" s="130">
        <f t="shared" si="9"/>
        <v>1456</v>
      </c>
      <c r="BC15" s="126">
        <f>IF(ISNUMBER(W15),W15," - ")</f>
        <v>412</v>
      </c>
      <c r="BD15" s="127">
        <f>IF(ISNUMBER(BA15/AZ15),BA15/AZ15," - ")</f>
        <v>1.0354198473282443</v>
      </c>
      <c r="BE15" s="128">
        <f>IF(ISNUMBER(BB15/BA15),BB15/BA15, " - ")</f>
        <v>0.42937186670598643</v>
      </c>
      <c r="BF15" s="128">
        <f>IF(ISNUMBER(BC15/BA15),BC15/BA15, " - ")</f>
        <v>0.12149808316130935</v>
      </c>
      <c r="BG15" s="200">
        <f t="shared" ref="BG15:BG16" si="10">IF(ISNUMBER((AY15+AZ15)/BA15),(AY15+AZ15)/BA15," - ")</f>
        <v>1.4208198171630788</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v>
      </c>
      <c r="J16" s="187">
        <v>0</v>
      </c>
      <c r="K16" s="187">
        <v>0</v>
      </c>
      <c r="L16" s="187">
        <v>1</v>
      </c>
      <c r="M16" s="187">
        <v>0</v>
      </c>
      <c r="N16" s="187">
        <v>0</v>
      </c>
      <c r="O16" s="185">
        <v>0</v>
      </c>
      <c r="P16" s="187">
        <v>0</v>
      </c>
      <c r="Q16" s="187">
        <v>0</v>
      </c>
      <c r="R16" s="187">
        <v>0</v>
      </c>
      <c r="S16" s="187">
        <v>1</v>
      </c>
      <c r="T16" s="187">
        <v>0</v>
      </c>
      <c r="U16" s="187">
        <v>0</v>
      </c>
      <c r="V16" s="187">
        <v>1</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v>
      </c>
      <c r="AZ16" s="128">
        <f t="shared" si="9"/>
        <v>0</v>
      </c>
      <c r="BA16" s="128">
        <f t="shared" si="9"/>
        <v>0</v>
      </c>
      <c r="BB16" s="128">
        <f t="shared" si="9"/>
        <v>1</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100</v>
      </c>
      <c r="J17" s="187">
        <v>135</v>
      </c>
      <c r="K17" s="187">
        <v>150</v>
      </c>
      <c r="L17" s="187">
        <v>89</v>
      </c>
      <c r="M17" s="187">
        <v>48</v>
      </c>
      <c r="N17" s="187">
        <v>64</v>
      </c>
      <c r="O17" s="187">
        <v>14</v>
      </c>
      <c r="P17" s="187">
        <v>10</v>
      </c>
      <c r="Q17" s="187">
        <v>14</v>
      </c>
      <c r="R17" s="187">
        <v>29</v>
      </c>
      <c r="S17" s="187">
        <v>104</v>
      </c>
      <c r="T17" s="187">
        <v>161</v>
      </c>
      <c r="U17" s="187">
        <v>168</v>
      </c>
      <c r="V17" s="187">
        <v>101</v>
      </c>
      <c r="W17" s="187">
        <v>47</v>
      </c>
      <c r="X17" s="193">
        <v>74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104</v>
      </c>
      <c r="AZ17" s="130">
        <f t="shared" si="14"/>
        <v>161</v>
      </c>
      <c r="BA17" s="130">
        <f t="shared" si="14"/>
        <v>168</v>
      </c>
      <c r="BB17" s="130">
        <f t="shared" si="14"/>
        <v>101</v>
      </c>
      <c r="BC17" s="126">
        <f>IF(ISNUMBER(W17),W17," - ")</f>
        <v>47</v>
      </c>
      <c r="BD17" s="127">
        <f>IF(ISNUMBER(BA17/AZ17),BA17/AZ17," - ")</f>
        <v>1.0434782608695652</v>
      </c>
      <c r="BE17" s="128">
        <f>IF(ISNUMBER(BB17/BA17),BB17/BA17, " - ")</f>
        <v>0.60119047619047616</v>
      </c>
      <c r="BF17" s="128">
        <f>IF(ISNUMBER(BC17/BA17),BC17/BA17, " - ")</f>
        <v>0.27976190476190477</v>
      </c>
      <c r="BG17" s="200">
        <f>IF(ISNUMBER((AY17+AZ17)/BA17),(AY17+AZ17)/BA17," - ")</f>
        <v>1.5773809523809523</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1792</v>
      </c>
      <c r="J18" s="188">
        <f t="shared" si="15"/>
        <v>3471</v>
      </c>
      <c r="K18" s="188">
        <f t="shared" si="15"/>
        <v>3526</v>
      </c>
      <c r="L18" s="188">
        <f t="shared" si="15"/>
        <v>1769</v>
      </c>
      <c r="M18" s="188">
        <f t="shared" si="15"/>
        <v>383</v>
      </c>
      <c r="N18" s="188">
        <f t="shared" si="15"/>
        <v>2448</v>
      </c>
      <c r="O18" s="188">
        <f t="shared" si="15"/>
        <v>55</v>
      </c>
      <c r="P18" s="188">
        <f t="shared" si="15"/>
        <v>120</v>
      </c>
      <c r="Q18" s="188">
        <f t="shared" si="15"/>
        <v>100</v>
      </c>
      <c r="R18" s="188">
        <f t="shared" si="15"/>
        <v>439</v>
      </c>
      <c r="S18" s="188">
        <f t="shared" si="15"/>
        <v>1648</v>
      </c>
      <c r="T18" s="188">
        <f t="shared" si="15"/>
        <v>3436</v>
      </c>
      <c r="U18" s="188">
        <f t="shared" si="15"/>
        <v>3559</v>
      </c>
      <c r="V18" s="188">
        <f t="shared" si="15"/>
        <v>1558</v>
      </c>
      <c r="W18" s="188">
        <f t="shared" si="15"/>
        <v>459</v>
      </c>
      <c r="X18" s="188">
        <f t="shared" si="15"/>
        <v>2309</v>
      </c>
      <c r="Y18" s="188">
        <f t="shared" si="15"/>
        <v>0</v>
      </c>
      <c r="Z18" s="188">
        <f t="shared" si="15"/>
        <v>0</v>
      </c>
      <c r="AA18" s="188">
        <f t="shared" si="15"/>
        <v>0</v>
      </c>
      <c r="AB18" s="188">
        <f t="shared" si="15"/>
        <v>0</v>
      </c>
      <c r="AC18" s="188">
        <f t="shared" si="15"/>
        <v>0</v>
      </c>
      <c r="AD18" s="188">
        <f t="shared" si="15"/>
        <v>126</v>
      </c>
      <c r="AE18" s="188">
        <f t="shared" si="15"/>
        <v>126</v>
      </c>
      <c r="AF18" s="188">
        <f t="shared" si="15"/>
        <v>0</v>
      </c>
      <c r="AG18" s="188">
        <f t="shared" si="15"/>
        <v>0</v>
      </c>
      <c r="AH18" s="188">
        <f t="shared" si="15"/>
        <v>0</v>
      </c>
      <c r="AI18" s="188">
        <f t="shared" si="15"/>
        <v>0</v>
      </c>
      <c r="AJ18" s="188">
        <f t="shared" si="15"/>
        <v>0</v>
      </c>
      <c r="AK18" s="188">
        <f t="shared" si="15"/>
        <v>0</v>
      </c>
      <c r="AL18" s="188">
        <f t="shared" si="15"/>
        <v>189</v>
      </c>
      <c r="AM18" s="188">
        <f t="shared" si="15"/>
        <v>189</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1648</v>
      </c>
      <c r="AZ18" s="188">
        <f>SUBTOTAL(9,AZ14:AZ17)</f>
        <v>3436</v>
      </c>
      <c r="BA18" s="188">
        <f>SUBTOTAL(9,BA14:BA17)</f>
        <v>3559</v>
      </c>
      <c r="BB18" s="188">
        <f>SUBTOTAL(9,BB14:BB17)</f>
        <v>1558</v>
      </c>
      <c r="BC18" s="188">
        <f>SUBTOTAL(9,BC14:BC17)</f>
        <v>459</v>
      </c>
      <c r="BD18" s="209">
        <f>IF(ISNUMBER(BA18/AZ18),BA18/AZ18," - ")</f>
        <v>1.0357974388824214</v>
      </c>
      <c r="BE18" s="210">
        <f>IF(ISNUMBER(BB18/BA18),BB18/BA18, " - ")</f>
        <v>0.43776341669008151</v>
      </c>
      <c r="BF18" s="210">
        <f>IF(ISNUMBER(BC18/BA18),BC18/BA18, " - ")</f>
        <v>0.12896881146389436</v>
      </c>
      <c r="BG18" s="211">
        <f>IF(ISNUMBER((AY18+AZ18)/BA18),(AY18+AZ18)/BA18," - ")</f>
        <v>1.4284911491992132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7978</v>
      </c>
      <c r="J19" s="135">
        <f t="shared" si="18"/>
        <v>6156</v>
      </c>
      <c r="K19" s="135">
        <f t="shared" si="18"/>
        <v>6326</v>
      </c>
      <c r="L19" s="135">
        <f t="shared" si="18"/>
        <v>7840</v>
      </c>
      <c r="M19" s="135">
        <f t="shared" si="18"/>
        <v>902</v>
      </c>
      <c r="N19" s="135">
        <f t="shared" si="18"/>
        <v>4354</v>
      </c>
      <c r="O19" s="135">
        <f t="shared" si="18"/>
        <v>750</v>
      </c>
      <c r="P19" s="135">
        <f t="shared" si="18"/>
        <v>457</v>
      </c>
      <c r="Q19" s="135">
        <f t="shared" si="18"/>
        <v>524</v>
      </c>
      <c r="R19" s="135">
        <f t="shared" si="18"/>
        <v>7903</v>
      </c>
      <c r="S19" s="135">
        <f t="shared" si="18"/>
        <v>6088</v>
      </c>
      <c r="T19" s="135">
        <f t="shared" si="18"/>
        <v>6003</v>
      </c>
      <c r="U19" s="135">
        <f t="shared" si="18"/>
        <v>6099</v>
      </c>
      <c r="V19" s="135">
        <f t="shared" si="18"/>
        <v>6025</v>
      </c>
      <c r="W19" s="135">
        <f t="shared" si="18"/>
        <v>946</v>
      </c>
      <c r="X19" s="135">
        <f t="shared" si="18"/>
        <v>3846</v>
      </c>
      <c r="Y19" s="135">
        <f t="shared" si="18"/>
        <v>174</v>
      </c>
      <c r="Z19" s="135">
        <f t="shared" si="18"/>
        <v>155</v>
      </c>
      <c r="AA19" s="135">
        <f t="shared" si="18"/>
        <v>133</v>
      </c>
      <c r="AB19" s="135">
        <f t="shared" si="18"/>
        <v>196</v>
      </c>
      <c r="AC19" s="135">
        <f t="shared" si="18"/>
        <v>0</v>
      </c>
      <c r="AD19" s="135">
        <f t="shared" si="18"/>
        <v>126</v>
      </c>
      <c r="AE19" s="135">
        <f t="shared" si="18"/>
        <v>126</v>
      </c>
      <c r="AF19" s="135">
        <f t="shared" si="18"/>
        <v>0</v>
      </c>
      <c r="AG19" s="135">
        <f t="shared" si="18"/>
        <v>164</v>
      </c>
      <c r="AH19" s="135">
        <f t="shared" si="18"/>
        <v>143</v>
      </c>
      <c r="AI19" s="135">
        <f t="shared" si="18"/>
        <v>156</v>
      </c>
      <c r="AJ19" s="135">
        <f t="shared" si="18"/>
        <v>151</v>
      </c>
      <c r="AK19" s="135">
        <f t="shared" si="18"/>
        <v>0</v>
      </c>
      <c r="AL19" s="135">
        <f t="shared" si="18"/>
        <v>189</v>
      </c>
      <c r="AM19" s="135">
        <f t="shared" si="18"/>
        <v>189</v>
      </c>
      <c r="AN19" s="214">
        <f t="shared" si="18"/>
        <v>0</v>
      </c>
      <c r="AO19" s="215">
        <v>10</v>
      </c>
      <c r="AP19" s="215">
        <v>9</v>
      </c>
      <c r="AQ19" s="215">
        <v>9</v>
      </c>
      <c r="AR19" s="215">
        <v>9</v>
      </c>
      <c r="AS19" s="157">
        <f t="shared" si="18"/>
        <v>0</v>
      </c>
      <c r="AT19" s="157">
        <f t="shared" si="18"/>
        <v>0</v>
      </c>
      <c r="AU19" s="215"/>
      <c r="AV19" s="216"/>
      <c r="AW19" s="215"/>
      <c r="AX19" s="216"/>
      <c r="AY19" s="134">
        <f>SUBTOTAL(9,AY9:AY18)</f>
        <v>6252</v>
      </c>
      <c r="AZ19" s="135">
        <f>SUBTOTAL(9,AZ9:AZ18)</f>
        <v>6146</v>
      </c>
      <c r="BA19" s="135">
        <f>SUBTOTAL(9,BA9:BA18)</f>
        <v>6255</v>
      </c>
      <c r="BB19" s="135">
        <f>SUBTOTAL(9,BB9:BB18)</f>
        <v>6176</v>
      </c>
      <c r="BC19" s="136">
        <f>SUBTOTAL(9,BC9:BC18)</f>
        <v>1999</v>
      </c>
      <c r="BD19" s="217">
        <f>IF(ISNUMBER(BA19/AZ19),BA19/AZ19," - ")</f>
        <v>1.017735112268142</v>
      </c>
      <c r="BE19" s="214">
        <f>IF(ISNUMBER(BB19/BA19),BB19/BA19, " - ")</f>
        <v>0.98737010391686653</v>
      </c>
      <c r="BF19" s="214">
        <f>IF(ISNUMBER(BC19/BA19),BC19/BA19, " - ")</f>
        <v>0.31958433253397284</v>
      </c>
      <c r="BG19" s="136">
        <f>IF(ISNUMBER((AY19+AZ19)/BA19),(AY19+AZ19)/BA19," - ")</f>
        <v>1.9820943245403677</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OuydXsJ8aM9e6hbeU+Qw8HLHWhUhxDRhyo4Q/FOq7EK+iHH7fHf5FKM53jA7d1SAfNtlUYexK0p5vvGkNJMA==" saltValue="QucliCKLtr4Uu3x8wcjd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x8t7J5i2t4qPc3r5CnJMMygGX72QG0nT/ewQ02z2VmFmDITRDBbZVdC0XPFt6Ym/4ZkAKOfG/cHsCYEo12Naw==" saltValue="04MkoNLQJVAth9AVoRvS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ARRECIFE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152</v>
      </c>
      <c r="O9" s="503"/>
      <c r="P9" s="503"/>
      <c r="Q9" s="501">
        <f>IF(ISNUMBER(Datos!P9),Datos!P9,0)</f>
        <v>329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378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196</v>
      </c>
      <c r="AI9" s="503" t="str">
        <f>IF(ISNUMBER(Datos!CD9),Datos!CD9,"-")</f>
        <v>-</v>
      </c>
      <c r="AJ9" s="503" t="str">
        <f>IF(ISNUMBER(Datos!EN9),Datos!EN9," - ")</f>
        <v xml:space="preserve"> - </v>
      </c>
      <c r="AK9" s="503"/>
      <c r="AL9" s="504"/>
      <c r="AM9" s="671">
        <f>IF(ISNUMBER(Datos!R9),Datos!R9," - ")</f>
        <v>6819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506</v>
      </c>
      <c r="BD9" s="619">
        <f>IF(ISNUMBER(Datos!N9),Datos!N9," - ")</f>
        <v>1890</v>
      </c>
      <c r="BE9" s="619" t="str">
        <f>IF(ISNUMBER(Datos!BW9),Datos!BW9," - ")</f>
        <v xml:space="preserve"> - </v>
      </c>
      <c r="BF9" s="667" t="str">
        <f>IF(ISNUMBER(Datos!BX9),Datos!BX9," - ")</f>
        <v xml:space="preserve"> - </v>
      </c>
      <c r="BG9" s="668">
        <f>IF(ISNUMBER(IF(J_V="SI",Datos!K9/Datos!J9,(Datos!K9+Datos!AA9)/(Datos!J9+Datos!Z9))),IF(J_V="SI",Datos!K9/Datos!J9,(Datos!K9+Datos!AA9)/(Datos!J9+Datos!Z9))," - ")</f>
        <v>1.0330960854092526</v>
      </c>
      <c r="BH9" s="669">
        <f>IF(ISNUMBER(((IF(J_V="SI",Datos!L9/Datos!K9,(Datos!L9+Datos!AB9)/(Datos!K9+Datos!AA9)))*11)/factor_trimestre),((IF(J_V="SI",Datos!L9/Datos!K9,(Datos!L9+Datos!AB9)/(Datos!K9+Datos!AA9)))*11)/factor_trimestre," - ")</f>
        <v>6.4619359283499822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-7.1345369831100755E-3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26</v>
      </c>
      <c r="AC10" s="501">
        <f>IF(ISNUMBER(Datos!Q10),Datos!Q10," - ")</f>
        <v>1</v>
      </c>
      <c r="AD10" s="503"/>
      <c r="AE10" s="516"/>
      <c r="AF10" s="505">
        <f>IF(ISNUMBER(Datos!L10),Datos!L10,"-")</f>
        <v>14</v>
      </c>
      <c r="AG10" s="503"/>
      <c r="AH10" s="503"/>
      <c r="AI10" s="503"/>
      <c r="AJ10" s="503"/>
      <c r="AK10" s="503"/>
      <c r="AL10" s="504"/>
      <c r="AM10" s="671">
        <f>IF(ISNUMBER(Datos!R10),Datos!R10," - ")</f>
        <v>31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12</v>
      </c>
      <c r="BE10" s="619" t="str">
        <f>IF(ISNUMBER(Datos!BW10),Datos!BW10," - ")</f>
        <v xml:space="preserve"> - </v>
      </c>
      <c r="BF10" s="667" t="str">
        <f>IF(ISNUMBER(Datos!BX10),Datos!BX10," - ")</f>
        <v xml:space="preserve"> - </v>
      </c>
      <c r="BG10" s="668">
        <f>IF(ISNUMBER(Datos!K10/Datos!J10),Datos!K10/Datos!J10," - ")</f>
        <v>0.96296296296296291</v>
      </c>
      <c r="BH10" s="669">
        <f>IF(ISNUMBER(((Datos!L10/Datos!K10)*11)/factor_trimestre),((Datos!L10/Datos!K10)*11)/factor_trimestre," - ")</f>
        <v>1.6153846153846152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0.29166666666666669</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614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1.3333333333333333</v>
      </c>
      <c r="BH12" s="669">
        <f>IF(ISNUMBER(((IF(J_V="SI",Datos!L12/Datos!K12,(Datos!L12+Datos!AB12)/(Datos!K12+Datos!AA12)))*11)/factor_trimestre),((IF(J_V="SI",Datos!L12/Datos!K12,(Datos!L12+Datos!AB12)/(Datos!K12+Datos!AA12)))*11)/factor_trimestre," - ")</f>
        <v>0</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-6.8285280728376321E-2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155</v>
      </c>
      <c r="O13" s="1046">
        <f t="shared" si="0"/>
        <v>0</v>
      </c>
      <c r="P13" s="1046">
        <f t="shared" si="0"/>
        <v>0</v>
      </c>
      <c r="Q13" s="1045">
        <f t="shared" si="0"/>
        <v>337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26</v>
      </c>
      <c r="AC13" s="1045">
        <f t="shared" si="1"/>
        <v>424</v>
      </c>
      <c r="AD13" s="1045">
        <f t="shared" si="1"/>
        <v>0</v>
      </c>
      <c r="AE13" s="1045">
        <f t="shared" si="1"/>
        <v>0</v>
      </c>
      <c r="AF13" s="1045">
        <f t="shared" si="1"/>
        <v>14</v>
      </c>
      <c r="AG13" s="1045">
        <f t="shared" si="1"/>
        <v>0</v>
      </c>
      <c r="AH13" s="1045">
        <f t="shared" si="1"/>
        <v>196</v>
      </c>
      <c r="AI13" s="1045">
        <f t="shared" si="1"/>
        <v>0</v>
      </c>
      <c r="AJ13" s="1045">
        <f t="shared" si="1"/>
        <v>0</v>
      </c>
      <c r="AK13" s="1045">
        <f t="shared" si="1"/>
        <v>0</v>
      </c>
      <c r="AL13" s="1045">
        <f t="shared" si="1"/>
        <v>0</v>
      </c>
      <c r="AM13" s="1045">
        <f t="shared" si="1"/>
        <v>7464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519</v>
      </c>
      <c r="BD13" s="1045">
        <f t="shared" si="1"/>
        <v>1906</v>
      </c>
      <c r="BE13" s="1045">
        <f t="shared" si="1"/>
        <v>0</v>
      </c>
      <c r="BF13" s="1045">
        <f t="shared" si="1"/>
        <v>0</v>
      </c>
      <c r="BG13" s="1045">
        <f>IF(ISNUMBER(Datos!K13/Datos!J13),Datos!K13/Datos!J13," - ")</f>
        <v>1.042830540037244</v>
      </c>
      <c r="BH13" s="1049">
        <f>IF(ISNUMBER(((Datos!L13/Datos!K13)*11)/factor_trimestre),((Datos!L13/Datos!K13)*11)/factor_trimestre," - ")</f>
        <v>6.5046428571428585</v>
      </c>
      <c r="BI13" s="1045">
        <f>IF(ISNUMBER('Resol  Asuntos'!D13/NºAsuntos!G13),'Resol  Asuntos'!D13/NºAsuntos!G13," - ")</f>
        <v>0.17695192635526763</v>
      </c>
      <c r="BJ13" s="1045" t="str">
        <f>IF(ISNUMBER(Datos!CI13/Datos!CJ13),Datos!CI13/Datos!CJ13," - ")</f>
        <v xml:space="preserve"> - </v>
      </c>
      <c r="BK13" s="1045">
        <f>SUBTOTAL(9,BK8:BK12)</f>
        <v>0</v>
      </c>
      <c r="BL13" s="1045">
        <f>IF(ISNUMBER((I13-AB13+L13)/(F13)),(I13-AB13+L13)/(F13)," - ")</f>
        <v>-2</v>
      </c>
      <c r="BM13" s="1050">
        <f>SUBTOTAL(9,BM9:BM12)</f>
        <v>0.21624684895518032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1719</v>
      </c>
      <c r="G15" s="650">
        <f>IF(ISNUMBER(IF(D_I="SI",Datos!I15,Datos!I15+Datos!AC15)),IF(D_I="SI",Datos!I15,Datos!I15+Datos!AC15)," - ")</f>
        <v>1691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3376</v>
      </c>
      <c r="AC15" s="230">
        <f>IF(ISNUMBER(Datos!Q15),Datos!Q15," - ")</f>
        <v>86</v>
      </c>
      <c r="AD15" s="343"/>
      <c r="AE15" s="515"/>
      <c r="AF15" s="648">
        <f>IF(ISNUMBER(IF(D_I="SI",Datos!L15,Datos!L15+Datos!AF15)),IF(D_I="SI",Datos!L15,Datos!L15+Datos!AF15)," - ")</f>
        <v>1679</v>
      </c>
      <c r="AG15" s="343"/>
      <c r="AH15" s="343"/>
      <c r="AI15" s="343"/>
      <c r="AJ15" s="503"/>
      <c r="AK15" s="343"/>
      <c r="AL15" s="499"/>
      <c r="AM15" s="344">
        <f>IF(ISNUMBER(Datos!R15),Datos!R15," - ")</f>
        <v>410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335</v>
      </c>
      <c r="BD15" s="233">
        <f>IF(ISNUMBER(Datos!N15),Datos!N15," - ")</f>
        <v>2384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1.0119904076738608</v>
      </c>
      <c r="BH15" s="669">
        <f>IF(ISNUMBER(((IF(D_I="SI",Datos!L15/Datos!K15,(Datos!L15+Datos!AF15)/(Datos!K15+Datos!AE15)))*11)/factor_trimestre),((IF(D_I="SI",Datos!L15/Datos!K15,(Datos!L15+Datos!AF15)/(Datos!K15+Datos!AE15)))*11)/factor_trimestre," - ")</f>
        <v>1.4920023696682465</v>
      </c>
      <c r="BI15" s="247">
        <f>IF(ISNUMBER('Resol  Asuntos'!D15/NºAsuntos!G15),'Resol  Asuntos'!D15/NºAsuntos!G15," - ")</f>
        <v>9.9229857819905218E-2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v>
      </c>
      <c r="G16" s="650">
        <f>IF(ISNUMBER(IF(D_I="SI",Datos!I16,Datos!I16+Datos!AC16)),IF(D_I="SI",Datos!I16,Datos!I16+Datos!AC16)," - ")</f>
        <v>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1</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150</v>
      </c>
      <c r="AC17" s="501">
        <f>IF(ISNUMBER(Datos!Q17),Datos!Q17," - ")</f>
        <v>14</v>
      </c>
      <c r="AD17" s="503"/>
      <c r="AE17" s="515"/>
      <c r="AF17" s="505">
        <f>IF(ISNUMBER(Datos!L17),Datos!L17,"-")</f>
        <v>89</v>
      </c>
      <c r="AG17" s="503"/>
      <c r="AH17" s="503"/>
      <c r="AI17" s="503"/>
      <c r="AJ17" s="503"/>
      <c r="AK17" s="503"/>
      <c r="AL17" s="504"/>
      <c r="AM17" s="671">
        <f>IF(ISNUMBER(Datos!R17),Datos!R17," - ")</f>
        <v>29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48</v>
      </c>
      <c r="BD17" s="619">
        <f>IF(ISNUMBER(Datos!N17),Datos!N17," - ")</f>
        <v>64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1.1111111111111112</v>
      </c>
      <c r="BH17" s="669">
        <f>IF(ISNUMBER(((IF(D_I="SI",Datos!L17/Datos!K17,(Datos!L17+Datos!AF17)/(Datos!K17+Datos!AE17)))*11)/factor_trimestre),((IF(D_I="SI",Datos!L17/Datos!K17,(Datos!L17+Datos!AF17)/(Datos!K17+Datos!AE17)))*11)/factor_trimestre," - ")</f>
        <v>1.7800000000000002</v>
      </c>
      <c r="BI17" s="668">
        <f>IF(ISNUMBER('Resol  Asuntos'!D17/NºAsuntos!G17),'Resol  Asuntos'!D17/NºAsuntos!G17," - ")</f>
        <v>0.32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1720</v>
      </c>
      <c r="G18" s="1044">
        <f>SUBTOTAL(9,G15:G17)</f>
        <v>1792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3526</v>
      </c>
      <c r="AC18" s="1045">
        <f t="shared" si="4"/>
        <v>100</v>
      </c>
      <c r="AD18" s="1045">
        <f t="shared" si="4"/>
        <v>0</v>
      </c>
      <c r="AE18" s="1045">
        <f t="shared" si="4"/>
        <v>0</v>
      </c>
      <c r="AF18" s="1045">
        <f t="shared" si="4"/>
        <v>1769</v>
      </c>
      <c r="AG18" s="1045">
        <f t="shared" si="4"/>
        <v>0</v>
      </c>
      <c r="AH18" s="1045">
        <f t="shared" si="4"/>
        <v>0</v>
      </c>
      <c r="AI18" s="1045">
        <f t="shared" si="4"/>
        <v>0</v>
      </c>
      <c r="AJ18" s="1045">
        <f t="shared" si="4"/>
        <v>0</v>
      </c>
      <c r="AK18" s="1045">
        <f t="shared" si="4"/>
        <v>0</v>
      </c>
      <c r="AL18" s="1045">
        <f t="shared" si="4"/>
        <v>0</v>
      </c>
      <c r="AM18" s="1045">
        <f t="shared" si="4"/>
        <v>439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383</v>
      </c>
      <c r="BD18" s="1045">
        <f t="shared" si="4"/>
        <v>2448</v>
      </c>
      <c r="BE18" s="1045">
        <f t="shared" si="4"/>
        <v>0</v>
      </c>
      <c r="BF18" s="1045">
        <f t="shared" si="4"/>
        <v>0</v>
      </c>
      <c r="BG18" s="1045">
        <f>IF(ISNUMBER(Datos!K18/Datos!J18),Datos!K18/Datos!J18," - ")</f>
        <v>1.0158455776433304</v>
      </c>
      <c r="BH18" s="1049">
        <f>IF(ISNUMBER(((Datos!L18/Datos!K18)*11)/factor_trimestre),((Datos!L18/Datos!K18)*11)/factor_trimestre," - ")</f>
        <v>1.5051049347702781</v>
      </c>
      <c r="BI18" s="1045">
        <f>SUBTOTAL(9,BI15:BI17)</f>
        <v>0.41922985781990524</v>
      </c>
      <c r="BJ18" s="1045">
        <f>SUBTOTAL(9,BJ15:BJ17)</f>
        <v>0</v>
      </c>
      <c r="BK18" s="1045">
        <f>SUBTOTAL(9,BK15:BK17)</f>
        <v>0</v>
      </c>
      <c r="BL18" s="1045">
        <f>IF(ISNUMBER((I18-AB18+L18)/(F18)),(I18-AB18+L18)/(F18)," - ")</f>
        <v>-2.0499999999999998</v>
      </c>
      <c r="BM18" s="1051">
        <f>IF(ISNUMBER((Datos!P18-Datos!Q18)/(Datos!R18-Datos!P18+Datos!Q18)),(Datos!P18-Datos!Q18)/(Datos!R18-Datos!P18+Datos!Q18)," - ")</f>
        <v>4.77326968973747E-2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9</v>
      </c>
      <c r="F19" s="966">
        <f t="shared" si="6"/>
        <v>1733</v>
      </c>
      <c r="G19" s="966">
        <f t="shared" si="6"/>
        <v>1805</v>
      </c>
      <c r="H19" s="968">
        <f t="shared" si="6"/>
        <v>0</v>
      </c>
      <c r="I19" s="966">
        <f t="shared" si="6"/>
        <v>0</v>
      </c>
      <c r="J19" s="968">
        <f t="shared" si="6"/>
        <v>0</v>
      </c>
      <c r="K19" s="968">
        <f t="shared" si="6"/>
        <v>0</v>
      </c>
      <c r="L19" s="1027">
        <f t="shared" si="6"/>
        <v>0</v>
      </c>
      <c r="M19" s="1027">
        <f t="shared" si="6"/>
        <v>0</v>
      </c>
      <c r="N19" s="1027">
        <f t="shared" si="6"/>
        <v>155</v>
      </c>
      <c r="O19" s="1027">
        <f t="shared" si="6"/>
        <v>0</v>
      </c>
      <c r="P19" s="1027">
        <f t="shared" si="6"/>
        <v>0</v>
      </c>
      <c r="Q19" s="968">
        <f t="shared" si="6"/>
        <v>457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3552</v>
      </c>
      <c r="AC19" s="967">
        <f t="shared" si="7"/>
        <v>524</v>
      </c>
      <c r="AD19" s="967">
        <f t="shared" si="7"/>
        <v>0</v>
      </c>
      <c r="AE19" s="967">
        <f t="shared" si="7"/>
        <v>0</v>
      </c>
      <c r="AF19" s="974">
        <f t="shared" si="7"/>
        <v>1783</v>
      </c>
      <c r="AG19" s="974">
        <f t="shared" si="7"/>
        <v>0</v>
      </c>
      <c r="AH19" s="974">
        <f t="shared" si="7"/>
        <v>196</v>
      </c>
      <c r="AI19" s="974">
        <f t="shared" si="7"/>
        <v>0</v>
      </c>
      <c r="AJ19" s="967">
        <f t="shared" si="7"/>
        <v>0</v>
      </c>
      <c r="AK19" s="974">
        <f t="shared" si="7"/>
        <v>0</v>
      </c>
      <c r="AL19" s="974">
        <f t="shared" si="7"/>
        <v>0</v>
      </c>
      <c r="AM19" s="974">
        <f t="shared" si="7"/>
        <v>7903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902</v>
      </c>
      <c r="BD19" s="966">
        <f t="shared" si="7"/>
        <v>4354</v>
      </c>
      <c r="BE19" s="966">
        <f t="shared" si="7"/>
        <v>0</v>
      </c>
      <c r="BF19" s="976">
        <f t="shared" si="7"/>
        <v>0</v>
      </c>
      <c r="BG19" s="1061">
        <f>IF(ISNUMBER(Datos!K19/Datos!J19),Datos!K19/Datos!J19," - ")</f>
        <v>1.0276153346328785</v>
      </c>
      <c r="BH19" s="1061">
        <f>IF(ISNUMBER(((Datos!L19/Datos!K19)*11)/factor_trimestre),((Datos!L19/Datos!K19)*11)/factor_trimestre," - ")</f>
        <v>3.7179892507113497</v>
      </c>
      <c r="BI19" s="959">
        <f>IF(ISNUMBER(Datos!J19/Datos!I19),Datos!J19/Datos!I19," - ")</f>
        <v>0.77162196039107545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-2.0496249278707444</v>
      </c>
      <c r="BM19" s="1035">
        <f>IF(ISNUMBER((Datos!P19-Datos!Q19+R19)/(Datos!R19-Datos!P19+Datos!Q19-R19)),(Datos!P19-Datos!Q19+R19)/(Datos!R19-Datos!P19+Datos!Q19-R19)," - ")</f>
        <v>-8.406524466750314E-3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601.66666666666663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2.3979157616563596</v>
      </c>
      <c r="F21" s="599">
        <f>IF(ISNUMBER(STDEV(F8:F18)),STDEV(F8:F18),"-")</f>
        <v>936.89230971334155</v>
      </c>
      <c r="G21" s="600">
        <f>IF(ISNUMBER(STDEV(G8:G18)),STDEV(G8:G18),"-")</f>
        <v>884.20216391200188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1757.4281208629843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232.98743068488236</v>
      </c>
      <c r="BD21" s="599"/>
      <c r="BE21" s="599">
        <f>IF(ISNUMBER(STDEV(BE8:BE18)),STDEV(BE8:BE18),"-")</f>
        <v>0</v>
      </c>
      <c r="BF21" s="604">
        <f>IF(ISNUMBER(STDEV(BF8:BF18)),STDEV(BF8:BF18),"-")</f>
        <v>0</v>
      </c>
      <c r="BG21" s="914">
        <f>IF(ISNUMBER(STDEV(BG8:BG18)),STDEV(BG8:BG18),"-")</f>
        <v>0.12303479432653952</v>
      </c>
      <c r="BH21" s="918">
        <f>IF(ISNUMBER(STDEV(BH8:BH18)),STDEV(BH8:BH18),"-")</f>
        <v>2.6075910231742903</v>
      </c>
      <c r="BI21" s="253">
        <f>IF(ISNUMBER(STDEV(BI8:BI18)),STDEV(BI8:BI18),"-")</f>
        <v>0.14323293608281518</v>
      </c>
      <c r="BJ21" s="234" t="str">
        <f>IF(ISNUMBER(BL21/BM21),BL21/BM21," - ")</f>
        <v xml:space="preserve"> - </v>
      </c>
      <c r="BK21" s="626"/>
      <c r="BL21" s="607">
        <f>IF(ISNUMBER(STDEV(BL8:BL18)),STDEV(BL8:BL18),"-")</f>
        <v>3.5355339059327251E-2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ttqFmOrY2yBDxckAjcDdP+fUh4xsuyyjKg6R0bW+r5zA0FJoVKnsIVMqWlT7F2+365zDJhrUwuUkQhK9tFalw==" saltValue="itPzq8174gnDq+XIhq/p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ARRECIFE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329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378</v>
      </c>
      <c r="AA9" s="505" t="str">
        <f>IF(ISNUMBER(IF(J_V="SI",Datos!L9,Datos!L9+Datos!AB9)-IF(Monitorios="SI",Datos!CD9,0)),
                          IF(J_V="SI",Datos!L9,Datos!L9+Datos!AB9)-IF(Monitorios="SI",Datos!CD9,0),
                          " - ")</f>
        <v xml:space="preserve"> - </v>
      </c>
      <c r="AB9" s="503"/>
      <c r="AC9" s="503"/>
      <c r="AD9" s="516"/>
      <c r="AE9" s="516">
        <f>IF(ISNUMBER(Datos!R9),Datos!R9," - ")</f>
        <v>6819</v>
      </c>
      <c r="AF9" s="619" t="str">
        <f>IF(ISNUMBER(Datos!BV9),Datos!BV9," - ")</f>
        <v xml:space="preserve"> - </v>
      </c>
      <c r="AG9" s="506" t="str">
        <f>IF(ISNUMBER(Datos!DV9),Datos!DV9," - ")</f>
        <v xml:space="preserve"> - </v>
      </c>
      <c r="AH9" s="507"/>
      <c r="AI9" s="508"/>
      <c r="AJ9" s="506">
        <f>IF(ISNUMBER(Datos!M9),Datos!M9," - ")</f>
        <v>506</v>
      </c>
      <c r="AK9" s="619">
        <f>IF(ISNUMBER(Datos!N9),Datos!N9," - ")</f>
        <v>1890</v>
      </c>
      <c r="AL9" s="619" t="str">
        <f>IF(ISNUMBER(Datos!BW9),Datos!BW9," - ")</f>
        <v xml:space="preserve"> - </v>
      </c>
      <c r="AM9" s="667" t="str">
        <f>IF(ISNUMBER(Datos!BX9),Datos!BX9," - ")</f>
        <v xml:space="preserve"> - </v>
      </c>
      <c r="AN9" s="668"/>
      <c r="AO9" s="669">
        <f>IF(ISNUMBER(((NºAsuntos!I9/NºAsuntos!G9)*11)/factor_trimestre),((NºAsuntos!I9/NºAsuntos!G9)*11)/factor_trimestre," - ")</f>
        <v>6.4619359283499822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-7.1345369831100755E-3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26</v>
      </c>
      <c r="Z10" s="703">
        <f>IF(ISNUMBER(Datos!Q10),Datos!Q10," - ")</f>
        <v>1</v>
      </c>
      <c r="AA10" s="505">
        <f>IF(ISNUMBER(Datos!L10),Datos!L10,"-")</f>
        <v>14</v>
      </c>
      <c r="AB10" s="503"/>
      <c r="AC10" s="503"/>
      <c r="AD10" s="516"/>
      <c r="AE10" s="516">
        <f>IF(ISNUMBER(Datos!R10),Datos!R10," - ")</f>
        <v>31</v>
      </c>
      <c r="AF10" s="619" t="str">
        <f>IF(ISNUMBER(Datos!BV10),Datos!BV10," - ")</f>
        <v xml:space="preserve"> - </v>
      </c>
      <c r="AG10" s="506" t="str">
        <f>IF(ISNUMBER(Datos!DV10),Datos!DV10," - ")</f>
        <v xml:space="preserve"> - </v>
      </c>
      <c r="AH10" s="507"/>
      <c r="AI10" s="508"/>
      <c r="AJ10" s="506">
        <f>IF(ISNUMBER(Datos!M10),Datos!M10," - ")</f>
        <v>13</v>
      </c>
      <c r="AK10" s="619">
        <f>IF(ISNUMBER(Datos!N10),Datos!N10," - ")</f>
        <v>12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1.6153846153846152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0.29166666666666669</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45</v>
      </c>
      <c r="AA12" s="505" t="str">
        <f>IF(ISNUMBER(IF(J_V="SI",Datos!L12,Datos!L12+Datos!AB12)-IF(Monitorios="SI",Datos!CD12,0)),
                          IF(J_V="SI",Datos!L12,Datos!L12+Datos!AB12)-IF(Monitorios="SI",Datos!CD12,0),
                          " - ")</f>
        <v xml:space="preserve"> - </v>
      </c>
      <c r="AB12" s="503"/>
      <c r="AC12" s="503"/>
      <c r="AD12" s="516"/>
      <c r="AE12" s="516">
        <f>IF(ISNUMBER(Datos!R12),Datos!R12," - ")</f>
        <v>614</v>
      </c>
      <c r="AF12" s="619" t="str">
        <f>IF(ISNUMBER(Datos!BV12),Datos!BV12," - ")</f>
        <v xml:space="preserve"> - </v>
      </c>
      <c r="AG12" s="506" t="str">
        <f>IF(ISNUMBER(Datos!DV12),Datos!DV12," - ")</f>
        <v xml:space="preserve"> - </v>
      </c>
      <c r="AH12" s="507"/>
      <c r="AI12" s="508"/>
      <c r="AJ12" s="506">
        <f>IF(ISNUMBER(Datos!M12),Datos!M12," - ")</f>
        <v>0</v>
      </c>
      <c r="AK12" s="619">
        <f>IF(ISNUMBER(Datos!N12),Datos!N12," - ")</f>
        <v>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0</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-6.8285280728376321E-2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337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26</v>
      </c>
      <c r="Z13" s="1053">
        <f t="shared" si="2"/>
        <v>424</v>
      </c>
      <c r="AA13" s="1046">
        <f t="shared" si="2"/>
        <v>14</v>
      </c>
      <c r="AB13" s="1046">
        <f t="shared" si="2"/>
        <v>0</v>
      </c>
      <c r="AC13" s="1046">
        <f t="shared" si="2"/>
        <v>0</v>
      </c>
      <c r="AD13" s="1046">
        <f t="shared" si="2"/>
        <v>0</v>
      </c>
      <c r="AE13" s="1046">
        <f t="shared" si="2"/>
        <v>7464</v>
      </c>
      <c r="AF13" s="1054">
        <f t="shared" si="2"/>
        <v>0</v>
      </c>
      <c r="AG13" s="1054">
        <f t="shared" si="2"/>
        <v>0</v>
      </c>
      <c r="AH13" s="1054">
        <f t="shared" si="2"/>
        <v>0</v>
      </c>
      <c r="AI13" s="1054">
        <f t="shared" si="2"/>
        <v>0</v>
      </c>
      <c r="AJ13" s="1054">
        <f t="shared" si="2"/>
        <v>519</v>
      </c>
      <c r="AK13" s="1054">
        <f t="shared" si="2"/>
        <v>1906</v>
      </c>
      <c r="AL13" s="1054">
        <f t="shared" si="2"/>
        <v>0</v>
      </c>
      <c r="AM13" s="1054">
        <f t="shared" si="2"/>
        <v>0</v>
      </c>
      <c r="AN13" s="1054">
        <f t="shared" si="2"/>
        <v>0</v>
      </c>
      <c r="AO13" s="1050">
        <f>IF(ISNUMBER(((NºAsuntos!I13/NºAsuntos!G13)*11)/factor_trimestre),((NºAsuntos!I13/NºAsuntos!G13)*11)/factor_trimestre," - ")</f>
        <v>6.4101602454824409</v>
      </c>
      <c r="AP13" s="1056" t="str">
        <f>IF(ISNUMBER(Datos!CI13/Datos!CJ13),Datos!CI13/Datos!CJ13," - ")</f>
        <v xml:space="preserve"> - </v>
      </c>
      <c r="AQ13" s="1074">
        <f t="shared" ref="AQ13:AV13" si="3">SUBTOTAL(9,AQ9:AQ12)</f>
        <v>0</v>
      </c>
      <c r="AR13" s="1074">
        <f t="shared" si="3"/>
        <v>0.21624684895518032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1719</v>
      </c>
      <c r="G15" s="506">
        <f>IF(ISNUMBER(IF(D_I="SI",Datos!I15,Datos!I15+Datos!AC15)),IF(D_I="SI",Datos!I15,Datos!I15+Datos!AC15)," - ")</f>
        <v>1691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3376</v>
      </c>
      <c r="Z15" s="703">
        <f>IF(ISNUMBER(Datos!Q15),Datos!Q15," - ")</f>
        <v>86</v>
      </c>
      <c r="AA15" s="505">
        <f>IF(ISNUMBER(IF(D_I="SI",Datos!L15,Datos!L15+Datos!AF15)),IF(D_I="SI",Datos!L15,Datos!L15+Datos!AF15)," - ")</f>
        <v>1679</v>
      </c>
      <c r="AB15" s="503"/>
      <c r="AC15" s="503"/>
      <c r="AD15" s="516"/>
      <c r="AE15" s="516">
        <f>IF(ISNUMBER(Datos!R15),Datos!R15," - ")</f>
        <v>410</v>
      </c>
      <c r="AF15" s="619" t="str">
        <f>IF(ISNUMBER(Datos!BV15),Datos!BV15," - ")</f>
        <v xml:space="preserve"> - </v>
      </c>
      <c r="AG15" s="506"/>
      <c r="AH15" s="507"/>
      <c r="AI15" s="508"/>
      <c r="AJ15" s="506">
        <f>IF(ISNUMBER(Datos!M15),Datos!M15," - ")</f>
        <v>335</v>
      </c>
      <c r="AK15" s="619">
        <f>IF(ISNUMBER(Datos!N15),Datos!N15," - ")</f>
        <v>2384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1.4920023696682465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v>
      </c>
      <c r="G16" s="506">
        <f>IF(ISNUMBER(IF(D_I="SI",Datos!I16,Datos!I16+Datos!AC16)),IF(D_I="SI",Datos!I16,Datos!I16+Datos!AC16)," - ")</f>
        <v>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1</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150</v>
      </c>
      <c r="Z17" s="703">
        <f>IF(ISNUMBER(Datos!Q17),Datos!Q17," - ")</f>
        <v>14</v>
      </c>
      <c r="AA17" s="505">
        <f>IF(ISNUMBER(Datos!L17),Datos!L17,"-")</f>
        <v>89</v>
      </c>
      <c r="AB17" s="503"/>
      <c r="AC17" s="503"/>
      <c r="AD17" s="516"/>
      <c r="AE17" s="516">
        <f>IF(ISNUMBER(Datos!R17),Datos!R17," - ")</f>
        <v>29</v>
      </c>
      <c r="AF17" s="619" t="str">
        <f>IF(ISNUMBER(Datos!BV17),Datos!BV17," - ")</f>
        <v xml:space="preserve"> - </v>
      </c>
      <c r="AG17" s="506" t="str">
        <f>IF(ISNUMBER(Datos!DV17),Datos!DV17," - ")</f>
        <v xml:space="preserve"> - </v>
      </c>
      <c r="AH17" s="507"/>
      <c r="AI17" s="508"/>
      <c r="AJ17" s="506">
        <f>IF(ISNUMBER(Datos!M17),Datos!M17," - ")</f>
        <v>48</v>
      </c>
      <c r="AK17" s="619">
        <f>IF(ISNUMBER(Datos!N17),Datos!N17," - ")</f>
        <v>64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1.7800000000000002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1720</v>
      </c>
      <c r="G18" s="1044">
        <f>SUBTOTAL(9,G15:G17)</f>
        <v>1792</v>
      </c>
      <c r="H18" s="1078">
        <f>SUBTOTAL(9,H15:H17)</f>
        <v>0</v>
      </c>
      <c r="I18" s="1057">
        <f>SUBTOTAL(9,I15:I17)</f>
        <v>0</v>
      </c>
      <c r="J18" s="1013">
        <f>SUBTOTAL(9,J14:J17)</f>
        <v>0</v>
      </c>
      <c r="K18" s="1078">
        <f t="shared" ref="K18:S18" si="4">SUBTOTAL(9,K15:K17)</f>
        <v>0</v>
      </c>
      <c r="L18" s="1078">
        <f t="shared" si="4"/>
        <v>0</v>
      </c>
      <c r="M18" s="1078">
        <f t="shared" si="4"/>
        <v>0</v>
      </c>
      <c r="N18" s="1078">
        <f t="shared" si="4"/>
        <v>120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3526</v>
      </c>
      <c r="Z18" s="1078">
        <f t="shared" si="5"/>
        <v>100</v>
      </c>
      <c r="AA18" s="1078">
        <f t="shared" si="5"/>
        <v>1769</v>
      </c>
      <c r="AB18" s="1078">
        <f t="shared" si="5"/>
        <v>0</v>
      </c>
      <c r="AC18" s="1078">
        <f t="shared" si="5"/>
        <v>0</v>
      </c>
      <c r="AD18" s="1078">
        <f t="shared" si="5"/>
        <v>0</v>
      </c>
      <c r="AE18" s="1078">
        <f t="shared" si="5"/>
        <v>439</v>
      </c>
      <c r="AF18" s="1078">
        <f t="shared" si="5"/>
        <v>0</v>
      </c>
      <c r="AG18" s="1078">
        <f t="shared" si="5"/>
        <v>0</v>
      </c>
      <c r="AH18" s="1078">
        <f t="shared" si="5"/>
        <v>0</v>
      </c>
      <c r="AI18" s="1078">
        <f t="shared" si="5"/>
        <v>0</v>
      </c>
      <c r="AJ18" s="1078">
        <f t="shared" si="5"/>
        <v>383</v>
      </c>
      <c r="AK18" s="1078">
        <f t="shared" si="5"/>
        <v>2448</v>
      </c>
      <c r="AL18" s="1078">
        <f t="shared" si="5"/>
        <v>0</v>
      </c>
      <c r="AM18" s="1078">
        <f t="shared" si="5"/>
        <v>0</v>
      </c>
      <c r="AN18" s="1078">
        <f t="shared" si="5"/>
        <v>0</v>
      </c>
      <c r="AO18" s="1080">
        <f>IF(ISNUMBER(((NºAsuntos!I18/NºAsuntos!G18)*11)/factor_trimestre),((NºAsuntos!I18/NºAsuntos!G18)*11)/factor_trimestre," - ")</f>
        <v>1.5051049347702781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1733</v>
      </c>
      <c r="G19" s="966">
        <f t="shared" si="7"/>
        <v>1805</v>
      </c>
      <c r="H19" s="967">
        <f t="shared" si="7"/>
        <v>0</v>
      </c>
      <c r="I19" s="966">
        <f t="shared" si="7"/>
        <v>0</v>
      </c>
      <c r="J19" s="968">
        <f t="shared" si="7"/>
        <v>0</v>
      </c>
      <c r="K19" s="966">
        <f t="shared" si="7"/>
        <v>0</v>
      </c>
      <c r="L19" s="969">
        <f t="shared" si="7"/>
        <v>0</v>
      </c>
      <c r="M19" s="966">
        <f t="shared" si="7"/>
        <v>0</v>
      </c>
      <c r="N19" s="967">
        <f t="shared" si="7"/>
        <v>457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3552</v>
      </c>
      <c r="Z19" s="973">
        <f t="shared" si="8"/>
        <v>524</v>
      </c>
      <c r="AA19" s="974">
        <f t="shared" si="8"/>
        <v>1783</v>
      </c>
      <c r="AB19" s="974">
        <f t="shared" si="8"/>
        <v>0</v>
      </c>
      <c r="AC19" s="974">
        <f t="shared" si="8"/>
        <v>0</v>
      </c>
      <c r="AD19" s="975">
        <f t="shared" si="8"/>
        <v>0</v>
      </c>
      <c r="AE19" s="975">
        <f t="shared" si="8"/>
        <v>7903</v>
      </c>
      <c r="AF19" s="976">
        <f t="shared" si="8"/>
        <v>0</v>
      </c>
      <c r="AG19" s="977">
        <f t="shared" si="8"/>
        <v>0</v>
      </c>
      <c r="AH19" s="978">
        <f t="shared" si="8"/>
        <v>0</v>
      </c>
      <c r="AI19" s="976">
        <f t="shared" si="8"/>
        <v>0</v>
      </c>
      <c r="AJ19" s="966">
        <f t="shared" si="8"/>
        <v>902</v>
      </c>
      <c r="AK19" s="966">
        <f t="shared" si="8"/>
        <v>4354</v>
      </c>
      <c r="AL19" s="966">
        <f t="shared" si="8"/>
        <v>0</v>
      </c>
      <c r="AM19" s="979">
        <f t="shared" si="8"/>
        <v>0</v>
      </c>
      <c r="AN19" s="969">
        <f>IF(ISNUMBER(Datos!K19/Datos!J19),Datos!K19/Datos!J19," - ")</f>
        <v>1.0276153346328785</v>
      </c>
      <c r="AO19" s="969">
        <f>IF(ISNUMBER(FIND("06",Criterios!A8,1)),(IF(ISNUMBER(((Datos!R19/Datos!Q19)*11)/factor_trimestre),((Datos!R19/Datos!Q19)*11)/factor_trimestre," - ")),(IF(ISNUMBER(((Datos!L19/Datos!K19)*11)/factor_trimestre),((Datos!L19/Datos!K19)*11)/factor_trimestre," - ")))</f>
        <v>3.7179892507113497</v>
      </c>
      <c r="AP19" s="980" t="str">
        <f>IF(ISNUMBER(Datos!CI19/Datos!CJ19),Datos!CI19/Datos!CJ19," - ")</f>
        <v xml:space="preserve"> - </v>
      </c>
      <c r="AQ19" s="980">
        <f>IF(OR(ISNUMBER(FIND("01",Criterios!A8,1)),ISNUMBER(FIND("02",Criterios!A8,1)),ISNUMBER(FIND("03",Criterios!A8,1)),ISNUMBER(FIND("04",Criterios!A8,1))),(J19-Y19+K19)/(F19-K19),(I19-Y19+K19)/(F19-K19))</f>
        <v>-2.0496249278707444</v>
      </c>
      <c r="AR19" s="980">
        <f>IF(ISNUMBER((Datos!P19-Datos!Q19+O19)/(Datos!R19-Datos!P19+Datos!Q19-O19)),(Datos!P19-Datos!Q19+O19)/(Datos!R19-Datos!P19+Datos!Q19-O19)," - ")</f>
        <v>-8.406524466750314E-3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601.66666666666663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936.89230971334155</v>
      </c>
      <c r="G21" s="600">
        <f>IF(ISNUMBER(STDEV(G8:G18)),STDEV(G8:G18),"-")</f>
        <v>884.20216391200188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232.98743068488236</v>
      </c>
      <c r="AK21" s="256"/>
      <c r="AL21" s="256">
        <f>IF(ISNUMBER(STDEV(AL8:AL18)),STDEV(AL8:AL18),"-")</f>
        <v>0</v>
      </c>
      <c r="AM21" s="258">
        <f>IF(ISNUMBER(STDEV(AM8:AM18)),STDEV(AM8:AM18),"-")</f>
        <v>0</v>
      </c>
      <c r="AN21" s="586">
        <f>IF(ISNUMBER(STDEV(AN8:AN18)),STDEV(AN8:AN18),"-")</f>
        <v>0</v>
      </c>
      <c r="AO21" s="587">
        <f>IF(ISNUMBER(STDEV(AO8:AO18)),STDEV(AO8:AO18),"-")</f>
        <v>2.5851590792239048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6gwYnuX+mxzojiBts2jwNg3XgEVEXjt3Vyj7MumoreH1is5ZxMKKISkPIhQcgvbUko5eg5a22ShmbBTCzTZrXg==" saltValue="j0rgoDLGrTphrsS/6RGD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UA6L6reVT3Li8Ja6fFqJKt4+N2rNL9qEDiOiQT00rA5gw+ggNRiBYh8sB733VUhw2tOSmfWiYpeBd6CdSGJ1w==" saltValue="IASvdNUFMRYONOoc3INB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jej6DG+qChQiWxUC3mKBcOx7JJ38hUZSERbt9GzZu5mJxD7N1juvo1kuWjQAod8ef9BQfcmAcK4UYuP6XaPpg==" saltValue="UBwuxVnmjD/1EX8X1D32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ARRECIFE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0.17695192635526763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0.12512390706983229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1DED0vgUAub7eCFmcQaXuDsm5+S/5RCofJuxwSXXfOOBNMgSTKXJtowq3ncDuL97qCQ8TGTKFYsOMW1x5cK0A==" saltValue="0rspyAUE4ALD4JOu5/m1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Q18CA9lTgHEu0/7Bg8Ets7nRSpqcRch5DEY74PIGjo55k4VqvQxXGcf/Rj/MsOEIcDzxB2EPqttKa5/RFgkeAQ==" saltValue="xCjdCqhf7vU2aZJIQcEM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ARRECIFE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6346</v>
      </c>
      <c r="D9" s="415">
        <f>IF(ISNUMBER(C9/Datos!BH9),C9/Datos!BH9," - ")</f>
        <v>1269.2</v>
      </c>
      <c r="E9" s="414">
        <f>IF(ISNUMBER(IF(J_V="SI",Datos!J9,Datos!J9+Datos!Z9)),IF(J_V="SI",Datos!J9,Datos!J9+Datos!Z9)," - ")</f>
        <v>2810</v>
      </c>
      <c r="F9" s="415">
        <f>IF(ISNUMBER(E9/B9),E9/B9," - ")</f>
        <v>562</v>
      </c>
      <c r="G9" s="414">
        <f>IF(ISNUMBER(IF(J_V="SI",Datos!K9,Datos!K9+Datos!AA9)),IF(J_V="SI",Datos!K9,Datos!K9+Datos!AA9)," - ")</f>
        <v>2903</v>
      </c>
      <c r="H9" s="415">
        <f>IF(ISNUMBER(G9/B9),G9/B9," - ")</f>
        <v>580.6</v>
      </c>
      <c r="I9" s="414">
        <f>IF(ISNUMBER(IF(J_V="SI",Datos!L9,Datos!L9+Datos!AB9)),IF(J_V="SI",Datos!L9,Datos!L9+Datos!AB9)," - ")</f>
        <v>6253</v>
      </c>
      <c r="J9" s="415">
        <f>IF(ISNUMBER(I9/B9),I9/B9," - ")</f>
        <v>1250.5999999999999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27</v>
      </c>
      <c r="F10" s="415">
        <f>IF(ISNUMBER(E10/B10),E10/B10," - ")</f>
        <v>27</v>
      </c>
      <c r="G10" s="414">
        <f>IF(ISNUMBER(Datos!K10),Datos!K10," - ")</f>
        <v>26</v>
      </c>
      <c r="H10" s="415">
        <f>IF(ISNUMBER(G10/B10),G10/B10," - ")</f>
        <v>26</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1</v>
      </c>
      <c r="D12" s="415" t="str">
        <f>IF(ISNUMBER(C12/Datos!BH12),C12/Datos!BH12," - ")</f>
        <v xml:space="preserve"> - </v>
      </c>
      <c r="E12" s="414">
        <f>IF(ISNUMBER(IF(J_V="SI",Datos!J12,Datos!J12+Datos!Z12)),IF(J_V="SI",Datos!J12,Datos!J12+Datos!Z12)," - ")</f>
        <v>3</v>
      </c>
      <c r="F12" s="415" t="str">
        <f>IF(ISNUMBER(E12/B12),E12/B12," - ")</f>
        <v xml:space="preserve"> - </v>
      </c>
      <c r="G12" s="414">
        <f>IF(ISNUMBER(IF(J_V="SI",Datos!K12,Datos!K12+Datos!AA12)),IF(J_V="SI",Datos!K12,Datos!K12+Datos!AA12)," - ")</f>
        <v>4</v>
      </c>
      <c r="H12" s="415" t="str">
        <f>IF(ISNUMBER(G12/B12),G12/B12," - ")</f>
        <v xml:space="preserve"> - </v>
      </c>
      <c r="I12" s="414">
        <f>IF(ISNUMBER(IF(J_V="SI",Datos!L12,Datos!L12+Datos!AB12)),IF(J_V="SI",Datos!L12,Datos!L12+Datos!AB12)," - ")</f>
        <v>0</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6360</v>
      </c>
      <c r="D13" s="996" t="str">
        <f>IF(ISNUMBER(C13/Datos!BI13),C13/Datos!BI13," - ")</f>
        <v xml:space="preserve"> - </v>
      </c>
      <c r="E13" s="995">
        <f>SUBTOTAL(9,E8:E12)</f>
        <v>2840</v>
      </c>
      <c r="F13" s="996">
        <f>IF(ISNUMBER(E13/B13),E13/B13," - ")</f>
        <v>568</v>
      </c>
      <c r="G13" s="995">
        <f>SUBTOTAL(9,G8:G12)</f>
        <v>2933</v>
      </c>
      <c r="H13" s="996">
        <f>IF(ISNUMBER(G13/B13),G13/B13," - ")</f>
        <v>586.6</v>
      </c>
      <c r="I13" s="995">
        <f>SUBTOTAL(9,I8:I12)</f>
        <v>6267</v>
      </c>
      <c r="J13" s="996">
        <f>IF(ISNUMBER(I13/B13),I13/B13," - ")</f>
        <v>1253.4000000000001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1691</v>
      </c>
      <c r="D15" s="415">
        <f>IF(ISNUMBER(C15/Datos!BH15),C15/Datos!BH15," - ")</f>
        <v>422.75</v>
      </c>
      <c r="E15" s="414">
        <f>IF(ISNUMBER(IF(D_I="SI",Datos!J15,Datos!J15+Datos!AD15)),IF(D_I="SI",Datos!J15,Datos!J15+Datos!AD15)," - ")</f>
        <v>3336</v>
      </c>
      <c r="F15" s="415">
        <f>IF(ISNUMBER(E15/B15),E15/B15," - ")</f>
        <v>834</v>
      </c>
      <c r="G15" s="414">
        <f>IF(ISNUMBER(IF(D_I="SI",Datos!K15,Datos!K15+Datos!AE15)),IF(D_I="SI",Datos!K15,Datos!K15+Datos!AE15)," - ")</f>
        <v>3376</v>
      </c>
      <c r="H15" s="415">
        <f>IF(ISNUMBER(G15/B15),G15/B15," - ")</f>
        <v>844</v>
      </c>
      <c r="I15" s="414">
        <f>IF(ISNUMBER(IF(D_I="SI",Datos!L15,Datos!L15+Datos!AF15)),IF(D_I="SI",Datos!L15,Datos!L15+Datos!AF15)," - ")</f>
        <v>1679</v>
      </c>
      <c r="J15" s="415">
        <f>IF(ISNUMBER(I15/B15),I15/B15," - ")</f>
        <v>419.75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100</v>
      </c>
      <c r="D17" s="415">
        <f>IF(ISNUMBER(C17/Datos!BH17),C17/Datos!BH17," - ")</f>
        <v>100</v>
      </c>
      <c r="E17" s="414">
        <f>IF(ISNUMBER(IF(D_I="SI",Datos!J17,Datos!J17+Datos!AD17)),IF(D_I="SI",Datos!J17,Datos!J17+Datos!AD17)," - ")</f>
        <v>135</v>
      </c>
      <c r="F17" s="415">
        <f>IF(ISNUMBER(E17/B17),E17/B17," - ")</f>
        <v>135</v>
      </c>
      <c r="G17" s="414">
        <f>IF(ISNUMBER(IF(D_I="SI",Datos!K17,Datos!K17+Datos!AE17)),IF(D_I="SI",Datos!K17,Datos!K17+Datos!AE17)," - ")</f>
        <v>150</v>
      </c>
      <c r="H17" s="415">
        <f>IF(ISNUMBER(G17/B17),G17/B17," - ")</f>
        <v>150</v>
      </c>
      <c r="I17" s="414">
        <f>IF(ISNUMBER(IF(D_I="SI",Datos!L17,Datos!L17+Datos!AF17)),IF(D_I="SI",Datos!L17,Datos!L17+Datos!AF17)," - ")</f>
        <v>89</v>
      </c>
      <c r="J17" s="415">
        <f>IF(ISNUMBER(I17/B17),I17/B17," - ")</f>
        <v>89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1792</v>
      </c>
      <c r="D18" s="996" t="str">
        <f>IF(ISNUMBER(C18/Datos!BI18),C18/Datos!BI18," - ")</f>
        <v xml:space="preserve"> - </v>
      </c>
      <c r="E18" s="995">
        <f>SUBTOTAL(9,E14:E17)</f>
        <v>3471</v>
      </c>
      <c r="F18" s="996">
        <f>IF(ISNUMBER(E18/B18),E18/B18," - ")</f>
        <v>867.75</v>
      </c>
      <c r="G18" s="995">
        <f>SUBTOTAL(9,G14:G17)</f>
        <v>3526</v>
      </c>
      <c r="H18" s="996">
        <f>IF(ISNUMBER(G18/B18),G18/B18," - ")</f>
        <v>881.5</v>
      </c>
      <c r="I18" s="995">
        <f>SUBTOTAL(9,I14:I17)</f>
        <v>1769</v>
      </c>
      <c r="J18" s="996">
        <f>IF(ISNUMBER(I18/B18),I18/B18," - ")</f>
        <v>442.25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8152</v>
      </c>
      <c r="D19" s="941" t="str">
        <f>IF(ISNUMBER(C19/Datos!BI19),C19/Datos!BI19," - ")</f>
        <v xml:space="preserve"> - </v>
      </c>
      <c r="E19" s="940">
        <f>SUBTOTAL(9,E9:E18)</f>
        <v>6311</v>
      </c>
      <c r="F19" s="941">
        <f>IF(ISNUMBER(E19/B19),E19/B19," - ")</f>
        <v>701.22222222222217</v>
      </c>
      <c r="G19" s="940">
        <f>SUBTOTAL(9,G9:G18)</f>
        <v>6459</v>
      </c>
      <c r="H19" s="941">
        <f>IF(ISNUMBER(G19/B19),G19/B19," - ")</f>
        <v>717.66666666666663</v>
      </c>
      <c r="I19" s="940">
        <f>SUBTOTAL(9,I9:I18)</f>
        <v>8036</v>
      </c>
      <c r="J19" s="941">
        <f>IF(ISNUMBER(I19/B19),I19/B19," - ")</f>
        <v>892.88888888888891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RJTypsOqNLN8rOnVfg2rBkgTeqyHYQlECJbobI+1yjMCxDMsTot9o/ZN27uki3HoV/NMRydaCPUYibpS9+kgw==" saltValue="AmDzhrdkG83LWG/r4han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ARRECIFE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26</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12</v>
      </c>
      <c r="AN10" s="810">
        <f>IF(ISNUMBER(Datos!BW10+DatosP!BW17),Datos!BW10+DatosP!BW17," - ")</f>
        <v>0</v>
      </c>
      <c r="AO10" s="811">
        <f>IF(ISNUMBER(Datos!BX10+DatosP!BX17),Datos!BX10+DatosP!BX17," - ")</f>
        <v>0</v>
      </c>
      <c r="AP10" s="813">
        <f>IF(ISNUMBER(((Datos!L10/Datos!K10)*11)/factor_trimestre),((Datos!L10/Datos!K10)*11)/factor_trimestre," - ")</f>
        <v>1.6153846153846152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0</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-6.8285280728376321E-2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26</v>
      </c>
      <c r="AC13" s="1085">
        <f t="shared" si="1"/>
        <v>0</v>
      </c>
      <c r="AD13" s="1085">
        <f t="shared" si="1"/>
        <v>45</v>
      </c>
      <c r="AE13" s="1085">
        <f t="shared" si="1"/>
        <v>0</v>
      </c>
      <c r="AF13" s="1085">
        <f t="shared" si="1"/>
        <v>14</v>
      </c>
      <c r="AG13" s="1085">
        <f t="shared" si="1"/>
        <v>0</v>
      </c>
      <c r="AH13" s="1085">
        <f t="shared" si="1"/>
        <v>614</v>
      </c>
      <c r="AI13" s="1085">
        <f t="shared" si="1"/>
        <v>0</v>
      </c>
      <c r="AJ13" s="1085">
        <f t="shared" si="1"/>
        <v>0</v>
      </c>
      <c r="AK13" s="1085">
        <f t="shared" si="1"/>
        <v>0</v>
      </c>
      <c r="AL13" s="1085">
        <f t="shared" si="1"/>
        <v>13</v>
      </c>
      <c r="AM13" s="1085">
        <f t="shared" si="1"/>
        <v>16</v>
      </c>
      <c r="AN13" s="1085">
        <f t="shared" si="1"/>
        <v>0</v>
      </c>
      <c r="AO13" s="1085">
        <f t="shared" si="1"/>
        <v>0</v>
      </c>
      <c r="AP13" s="1090">
        <f>IF(ISNUMBER(((Datos!L13/Datos!K13)*11)/factor_trimestre),((Datos!L13/Datos!K13)*11)/factor_trimestre," - ")</f>
        <v>6.5046428571428585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-2</v>
      </c>
      <c r="AU13" s="1085" t="str">
        <f>IF(ISNUMBER((DatosP!#REF!-DatosP!#REF!+DatosP!#REF!)/(DatosP!#REF!+DatosP!#REF!-DatosP!#REF!-DatosP!#REF!)),(DatosP!#REF!-DatosP!#REF!+DatosP!#REF!)/(DatosP!#REF!+DatosP!#REF!-DatosP!#REF!-DatosP!#REF!)," - ")</f>
        <v xml:space="preserve"> - </v>
      </c>
      <c r="AV13" s="1091">
        <f>SUBTOTAL(9,AV9:AV12)</f>
        <v>-6.8285280728376321E-2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1.5051049347702781</v>
      </c>
      <c r="AQ18" s="1090">
        <f>IF(ISNUMBER(((Datos!M18/Datos!L18)*11)/factor_trimestre),((Datos!M18/Datos!L18)*11)/factor_trimestre," - ")</f>
        <v>0.64951950254381008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4.77326968973747E-2</v>
      </c>
      <c r="AW18" s="1092">
        <f>IF(ISNUMBER((Datos!Q18-Datos!R18)/(Datos!S18-Datos!Q18+Datos!R18)),(Datos!Q18-Datos!R18)/(Datos!S18-Datos!Q18+Datos!R18)," - ")</f>
        <v>-0.17060895822848515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26</v>
      </c>
      <c r="AC19" s="1103">
        <f t="shared" si="5"/>
        <v>0</v>
      </c>
      <c r="AD19" s="1103">
        <f t="shared" si="5"/>
        <v>45</v>
      </c>
      <c r="AE19" s="1103">
        <f t="shared" si="5"/>
        <v>0</v>
      </c>
      <c r="AF19" s="1104">
        <f t="shared" si="5"/>
        <v>14</v>
      </c>
      <c r="AG19" s="1104">
        <f t="shared" si="5"/>
        <v>0</v>
      </c>
      <c r="AH19" s="1104">
        <f t="shared" si="5"/>
        <v>614</v>
      </c>
      <c r="AI19" s="1104">
        <f t="shared" si="5"/>
        <v>0</v>
      </c>
      <c r="AJ19" s="1105">
        <f t="shared" si="5"/>
        <v>0</v>
      </c>
      <c r="AK19" s="1105">
        <f t="shared" si="5"/>
        <v>0</v>
      </c>
      <c r="AL19" s="1097">
        <f t="shared" si="5"/>
        <v>13</v>
      </c>
      <c r="AM19" s="1097">
        <f t="shared" si="5"/>
        <v>16</v>
      </c>
      <c r="AN19" s="1097">
        <f t="shared" si="5"/>
        <v>0</v>
      </c>
      <c r="AO19" s="1097">
        <f t="shared" si="5"/>
        <v>0</v>
      </c>
      <c r="AP19" s="1097">
        <f>IF(ISNUMBER(((Datos!L19/Datos!K19)*11)/factor_trimestre),((Datos!L19/Datos!K19)*11)/factor_trimestre," - ")</f>
        <v>3.7179892507113497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-8.406524466750314E-3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15.01110699893027</v>
      </c>
      <c r="AC21" s="871">
        <f>IF(ISNUMBER(STDEV(AC8:AC18)),STDEV(AC8:AC18),"-")</f>
        <v>0</v>
      </c>
      <c r="AD21" s="874"/>
      <c r="AE21" s="874"/>
      <c r="AF21" s="874"/>
      <c r="AG21" s="874"/>
      <c r="AH21" s="874"/>
      <c r="AI21" s="874"/>
      <c r="AJ21" s="875">
        <f>IF(ISNUMBER(STDEV(AJ8:AJ18)),STDEV(AJ8:AJ18),"-")</f>
        <v>0</v>
      </c>
      <c r="AK21" s="877"/>
      <c r="AL21" s="869">
        <f>IF(ISNUMBER(STDEV(AL8:AL18)),STDEV(AL8:AL18),"-")</f>
        <v>7.5055534994651349</v>
      </c>
      <c r="AM21" s="869"/>
      <c r="AN21" s="869">
        <f>IF(ISNUMBER(STDEV(AN8:AN18)),STDEV(AN8:AN18),"-")</f>
        <v>0</v>
      </c>
      <c r="AO21" s="875">
        <f>IF(ISNUMBER(STDEV(AO8:AO18)),STDEV(AO8:AO18),"-")</f>
        <v>0</v>
      </c>
      <c r="AP21" s="922">
        <f>IF(ISNUMBER(STDEV(AP8:AP18)),STDEV(AP8:AP18),"-")</f>
        <v>2.8298641636874495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dklLNONtRwprw0WcV28ezFPkkhzmi1+WswNaA62GYOMr5WgOVeSJojBeCt/+KGvFcOjrMZ9zcaQ2FaOpe5ShBg==" saltValue="ZRv4rffApWtrgjv3EcgZ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ARRECIFE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98U30hIkudYrj3I4GL/ufxSL1svR0/zW/VJ21bwS3n275iItnJ23e2iLUKL/oY1ekiUNp3OVMgpbUWACF1gXWg==" saltValue="P/wmhcXJ7sEwCGhDmFQI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ARRECIFE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506</v>
      </c>
      <c r="E9" s="415">
        <f t="shared" ref="E9:E13" si="0">IF(ISNUMBER(D9/B9),D9/B9," - ")</f>
        <v>101.2</v>
      </c>
      <c r="F9" s="414">
        <f>IF(ISNUMBER(Datos!N9),Datos!N9," - ")</f>
        <v>1890</v>
      </c>
      <c r="G9" s="415">
        <f t="shared" ref="G9:G13" si="1">IF(ISNUMBER(F9/B9),F9/B9," - ")</f>
        <v>378</v>
      </c>
      <c r="H9" s="414">
        <f>IF(ISNUMBER(Datos!O9),Datos!O9," - ")</f>
        <v>663</v>
      </c>
      <c r="I9" s="415">
        <f>IF(ISNUMBER(H9/B9),H9/B9," - ")</f>
        <v>132.6</v>
      </c>
    </row>
    <row r="10" spans="1:9">
      <c r="A10" s="413" t="str">
        <f>Datos!A10</f>
        <v>Jdos. Violencia contra la mujer</v>
      </c>
      <c r="B10" s="443">
        <f>Datos!AO10</f>
        <v>1</v>
      </c>
      <c r="C10" s="421">
        <f>Datos!AQ10</f>
        <v>0</v>
      </c>
      <c r="D10" s="414">
        <f>IF(ISNUMBER(Datos!M10),Datos!M10," - ")</f>
        <v>13</v>
      </c>
      <c r="E10" s="415">
        <f>IF(ISNUMBER(D10/B10),D10/B10," - ")</f>
        <v>13</v>
      </c>
      <c r="F10" s="414">
        <f>IF(ISNUMBER(Datos!N10),Datos!N10," - ")</f>
        <v>12</v>
      </c>
      <c r="G10" s="415">
        <f>IF(ISNUMBER(F10/B10),F10/B10," - ")</f>
        <v>12</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4</v>
      </c>
      <c r="G12" s="415" t="str">
        <f t="shared" si="1"/>
        <v xml:space="preserve"> - </v>
      </c>
      <c r="H12" s="414">
        <f>IF(ISNUMBER(Datos!O12),Datos!O12," - ")</f>
        <v>31</v>
      </c>
      <c r="I12" s="415" t="str">
        <f t="shared" si="2"/>
        <v xml:space="preserve"> - </v>
      </c>
    </row>
    <row r="13" spans="1:9" ht="14.25" thickTop="1" thickBot="1">
      <c r="A13" s="994" t="str">
        <f>Datos!A13</f>
        <v>TOTAL</v>
      </c>
      <c r="B13" s="995">
        <f>Datos!AO13</f>
        <v>6</v>
      </c>
      <c r="C13" s="997">
        <f>Datos!AR13</f>
        <v>5</v>
      </c>
      <c r="D13" s="995">
        <f>SUBTOTAL(9,D9:D12)</f>
        <v>519</v>
      </c>
      <c r="E13" s="996">
        <f t="shared" si="0"/>
        <v>86.5</v>
      </c>
      <c r="F13" s="995">
        <f>SUBTOTAL(9,F9:F12)</f>
        <v>1906</v>
      </c>
      <c r="G13" s="996">
        <f t="shared" si="1"/>
        <v>317.66666666666669</v>
      </c>
      <c r="H13" s="995">
        <f>SUBTOTAL(9,H9:H12)</f>
        <v>695</v>
      </c>
      <c r="I13" s="996">
        <f>IF(ISNUMBER(H13/B13),H13/B13," - ")</f>
        <v>115.83333333333333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335</v>
      </c>
      <c r="E15" s="415">
        <f t="shared" ref="E15:E18" si="3">IF(ISNUMBER(D15/B15),D15/B15," - ")</f>
        <v>83.75</v>
      </c>
      <c r="F15" s="414">
        <f>IF(ISNUMBER(Datos!N15),Datos!N15," - ")</f>
        <v>2384</v>
      </c>
      <c r="G15" s="415">
        <f t="shared" ref="G15:G18" si="4">IF(ISNUMBER(F15/B15),F15/B15," - ")</f>
        <v>596</v>
      </c>
      <c r="H15" s="414">
        <f>IF(ISNUMBER(Datos!O15),Datos!O15," - ")</f>
        <v>41</v>
      </c>
      <c r="I15" s="415">
        <f t="shared" ref="I15:I17" si="5">IF(ISNUMBER(H15/B15),H15/B15," - ")</f>
        <v>10.25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48</v>
      </c>
      <c r="E17" s="415">
        <f>IF(ISNUMBER(D17/B17),D17/B17," - ")</f>
        <v>48</v>
      </c>
      <c r="F17" s="414">
        <f>IF(ISNUMBER(Datos!N17),Datos!N17," - ")</f>
        <v>64</v>
      </c>
      <c r="G17" s="415">
        <f>IF(ISNUMBER(F17/B17),F17/B17," - ")</f>
        <v>64</v>
      </c>
      <c r="H17" s="414">
        <f>IF(ISNUMBER(Datos!O17),Datos!O17," - ")</f>
        <v>14</v>
      </c>
      <c r="I17" s="415">
        <f t="shared" si="5"/>
        <v>14</v>
      </c>
    </row>
    <row r="18" spans="1:9" ht="14.25" thickTop="1" thickBot="1">
      <c r="A18" s="994" t="str">
        <f>Datos!A18</f>
        <v>TOTAL</v>
      </c>
      <c r="B18" s="995">
        <f>Datos!AO18</f>
        <v>5</v>
      </c>
      <c r="C18" s="997">
        <f>Datos!AR18</f>
        <v>4</v>
      </c>
      <c r="D18" s="995">
        <f>SUBTOTAL(9,D15:D17)</f>
        <v>383</v>
      </c>
      <c r="E18" s="996">
        <f t="shared" si="3"/>
        <v>76.599999999999994</v>
      </c>
      <c r="F18" s="995">
        <f>SUBTOTAL(9,F15:F17)</f>
        <v>2448</v>
      </c>
      <c r="G18" s="996">
        <f t="shared" si="4"/>
        <v>489.6</v>
      </c>
      <c r="H18" s="995">
        <f>SUBTOTAL(9,H15:H17)</f>
        <v>55</v>
      </c>
      <c r="I18" s="996">
        <f>IF(ISNUMBER(H18/B18),H18/B18," - ")</f>
        <v>11</v>
      </c>
    </row>
    <row r="19" spans="1:9" ht="14.25" thickTop="1" thickBot="1">
      <c r="A19" s="939" t="str">
        <f>Datos!A19</f>
        <v>TOTAL JURISDICCIONES</v>
      </c>
      <c r="B19" s="940">
        <f>Datos!AP19</f>
        <v>9</v>
      </c>
      <c r="C19" s="940">
        <f>Datos!AR19</f>
        <v>9</v>
      </c>
      <c r="D19" s="940">
        <f>SUBTOTAL(9,D8:D18)</f>
        <v>902</v>
      </c>
      <c r="E19" s="941">
        <f>IF(ISNUMBER(D19/B19),D19/B19," - ")</f>
        <v>100.22222222222223</v>
      </c>
      <c r="F19" s="940">
        <f>SUBTOTAL(9,F8:F18)</f>
        <v>4354</v>
      </c>
      <c r="G19" s="941">
        <f>IF(ISNUMBER(F19/B19),F19/B19," - ")</f>
        <v>483.77777777777777</v>
      </c>
      <c r="H19" s="940">
        <f>SUBTOTAL(9,H8:H18)</f>
        <v>750</v>
      </c>
      <c r="I19" s="941">
        <f>IF(ISNUMBER(H19/B19),H19/B19," - ")</f>
        <v>83.333333333333329</v>
      </c>
    </row>
    <row r="22" spans="1:9">
      <c r="A22" s="402" t="str">
        <f>Criterios!A4</f>
        <v>Fecha Informe: 06 oct. 2023</v>
      </c>
    </row>
    <row r="27" spans="1:9">
      <c r="A27" s="425"/>
    </row>
  </sheetData>
  <sheetProtection algorithmName="SHA-512" hashValue="KYndYBpk7K961bMY90k2FCSqmJO+TkrKQXRALVxWwUdiJX1TGR5BvKnzvUSSem7ZnX4EBETWvZv1PF9fUf3SdQ==" saltValue="Neo8AmERb83tObIdbCO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ARRECIFE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329</v>
      </c>
      <c r="C9" s="450">
        <f>IF(ISNUMBER(Datos!Q9),Datos!Q9," - ")</f>
        <v>378</v>
      </c>
      <c r="D9" s="419">
        <f>IF(ISNUMBER(Datos!R9),Datos!R9," - ")</f>
        <v>6819</v>
      </c>
    </row>
    <row r="10" spans="1:4">
      <c r="A10" s="413" t="str">
        <f>Datos!A10</f>
        <v>Jdos. Violencia contra la mujer</v>
      </c>
      <c r="B10" s="449">
        <f>IF(ISNUMBER(Datos!P10),Datos!P10," - ")</f>
        <v>8</v>
      </c>
      <c r="C10" s="450">
        <f>IF(ISNUMBER(Datos!Q10),Datos!Q10," - ")</f>
        <v>1</v>
      </c>
      <c r="D10" s="419">
        <f>IF(ISNUMBER(Datos!R10),Datos!R10," - ")</f>
        <v>31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0</v>
      </c>
      <c r="C12" s="450">
        <f>IF(ISNUMBER(Datos!Q12),Datos!Q12," - ")</f>
        <v>45</v>
      </c>
      <c r="D12" s="419">
        <f>IF(ISNUMBER(Datos!R12),Datos!R12," - ")</f>
        <v>614</v>
      </c>
    </row>
    <row r="13" spans="1:4" ht="14.25" thickTop="1" thickBot="1">
      <c r="A13" s="994" t="str">
        <f>Datos!A13</f>
        <v>TOTAL</v>
      </c>
      <c r="B13" s="995">
        <f>SUBTOTAL(9,B9:B12)</f>
        <v>337</v>
      </c>
      <c r="C13" s="999">
        <f>SUBTOTAL(9,C9:C12)</f>
        <v>424</v>
      </c>
      <c r="D13" s="997">
        <f>SUBTOTAL(9,D9:D12)</f>
        <v>7464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110</v>
      </c>
      <c r="C15" s="450">
        <f>IF(ISNUMBER(Datos!Q15),Datos!Q15," - ")</f>
        <v>86</v>
      </c>
      <c r="D15" s="419">
        <f>IF(ISNUMBER(Datos!R15),Datos!R15," - ")</f>
        <v>410</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10</v>
      </c>
      <c r="C17" s="450">
        <f>IF(ISNUMBER(Datos!Q17),Datos!Q17," - ")</f>
        <v>14</v>
      </c>
      <c r="D17" s="419">
        <f>IF(ISNUMBER(Datos!R17),Datos!R17," - ")</f>
        <v>29</v>
      </c>
    </row>
    <row r="18" spans="1:4" ht="14.25" thickTop="1" thickBot="1">
      <c r="A18" s="994" t="str">
        <f>Datos!A18</f>
        <v>TOTAL</v>
      </c>
      <c r="B18" s="995">
        <f>SUBTOTAL(9,B15:B17)</f>
        <v>120</v>
      </c>
      <c r="C18" s="999">
        <f>SUBTOTAL(9,C15:C17)</f>
        <v>100</v>
      </c>
      <c r="D18" s="997">
        <f>SUBTOTAL(9,D15:D17)</f>
        <v>439</v>
      </c>
    </row>
    <row r="19" spans="1:4" ht="16.5" customHeight="1" thickTop="1" thickBot="1">
      <c r="A19" s="939" t="str">
        <f>Datos!A19</f>
        <v>TOTAL JURISDICCIONES</v>
      </c>
      <c r="B19" s="944">
        <f>SUBTOTAL(9,B8:B18)</f>
        <v>457</v>
      </c>
      <c r="C19" s="945">
        <f>SUBTOTAL(9,C8:C18)</f>
        <v>524</v>
      </c>
      <c r="D19" s="946">
        <f>SUBTOTAL(9,D8:D18)</f>
        <v>7903</v>
      </c>
    </row>
    <row r="20" spans="1:4" ht="7.5" customHeight="1"/>
    <row r="21" spans="1:4" ht="6" customHeight="1"/>
    <row r="22" spans="1:4">
      <c r="A22" s="402" t="str">
        <f>Criterios!A4</f>
        <v>Fecha Informe: 06 oct. 2023</v>
      </c>
    </row>
    <row r="27" spans="1:4">
      <c r="A27" s="425"/>
    </row>
  </sheetData>
  <sheetProtection algorithmName="SHA-512" hashValue="hpQLb1w3aoc1fk6YTtn3VLgamdENisihHwyVyYxPJS0L8WgP1Ys/ofdqF5NEhn9ug48Esih70i0lZ49I4vTCNg==" saltValue="iwQJaPzLKt/QAOmdC/1g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ARRECIFE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0.38619484491044126</v>
      </c>
      <c r="C9" s="472">
        <f>IF(ISNUMBER(
   IF(J_V="SI",(Datos!J9-Datos!T9)/Datos!T9,(Datos!J9+Datos!Z9-(Datos!T9+Datos!AH9))/(Datos!T9+Datos!AH9))
     ),IF(J_V="SI",(Datos!J9-Datos!T9)/Datos!T9,(Datos!J9+Datos!Z9-(Datos!T9+Datos!AH9))/(Datos!T9+Datos!AH9))," - ")</f>
        <v>4.3833580980683504E-2</v>
      </c>
      <c r="D9" s="472">
        <f>IF(ISNUMBER(
   IF(J_V="SI",(Datos!K9-Datos!U9)/Datos!U9,(Datos!K9+Datos!AA9-(Datos!U9+Datos!AI9))/(Datos!U9+Datos!AI9))
     ),IF(J_V="SI",(Datos!K9-Datos!U9)/Datos!U9,(Datos!K9+Datos!AA9-(Datos!U9+Datos!AI9))/(Datos!U9+Datos!AI9))," - ")</f>
        <v>8.6858854361662297E-2</v>
      </c>
      <c r="E9" s="472">
        <f>IF(ISNUMBER(
   IF(J_V="SI",(Datos!L9-Datos!V9)/Datos!V9,(Datos!L9+Datos!AB9-(Datos!V9+Datos!AJ9))/(Datos!V9+Datos!AJ9))
     ),IF(J_V="SI",(Datos!L9-Datos!V9)/Datos!V9,(Datos!L9+Datos!AB9-(Datos!V9+Datos!AJ9))/(Datos!V9+Datos!AJ9))," - ")</f>
        <v>0.35964340073929113</v>
      </c>
      <c r="F9" s="472">
        <f>IF(ISNUMBER((Datos!M9-Datos!W9)/Datos!W9),(Datos!M9-Datos!W9)/Datos!W9," - ")</f>
        <v>6.0796645702306078E-2</v>
      </c>
      <c r="G9" s="473">
        <f>IF(ISNUMBER((Datos!N9-Datos!X9)/Datos!X9),(Datos!N9-Datos!X9)/Datos!X9," - ")</f>
        <v>0.23529411764705882</v>
      </c>
      <c r="H9" s="471">
        <f>IF(ISNUMBER(((NºAsuntos!G9/NºAsuntos!E9)-Datos!BD9)/Datos!BD9),((NºAsuntos!G9/NºAsuntos!E9)-Datos!BD9)/Datos!BD9," - ")</f>
        <v>4.1218518128681339E-2</v>
      </c>
      <c r="I9" s="472">
        <f>IF(ISNUMBER(((NºAsuntos!I9/NºAsuntos!G9)-Datos!BE9)/Datos!BE9),((NºAsuntos!I9/NºAsuntos!G9)-Datos!BE9)/Datos!BE9," - ")</f>
        <v>0.25098433461062575</v>
      </c>
      <c r="J9" s="477">
        <f>IF(ISNUMBER((('Resol  Asuntos'!D9/NºAsuntos!G9)-Datos!BF9)/Datos!BF9),(('Resol  Asuntos'!D9/NºAsuntos!G9)-Datos!BF9)/Datos!BF9," - ")</f>
        <v>-0.69571122053138623</v>
      </c>
      <c r="K9" s="478">
        <f>IF(ISNUMBER((((NºAsuntos!C9+NºAsuntos!E9)/NºAsuntos!G9)-Datos!BG9)/Datos!BG9),(((NºAsuntos!C9+NºAsuntos!E9)/NºAsuntos!G9)-Datos!BG9)/Datos!BG9," - ")</f>
        <v>0.15877262102809725</v>
      </c>
    </row>
    <row r="10" spans="1:11">
      <c r="A10" s="413" t="str">
        <f>Datos!A10</f>
        <v>Jdos. Violencia contra la mujer</v>
      </c>
      <c r="B10" s="471">
        <f>IF(ISNUMBER((Datos!I10-Datos!S10)/Datos!S10),(Datos!I10-Datos!S10)/Datos!S10," - ")</f>
        <v>-0.48</v>
      </c>
      <c r="C10" s="472">
        <f>IF(ISNUMBER((Datos!J10-Datos!T10)/Datos!T10),(Datos!J10-Datos!T10)/Datos!T10," - ")</f>
        <v>0.5</v>
      </c>
      <c r="D10" s="472">
        <f>IF(ISNUMBER((Datos!K10-Datos!U10)/Datos!U10),(Datos!K10-Datos!U10)/Datos!U10," - ")</f>
        <v>0.04</v>
      </c>
      <c r="E10" s="472">
        <f>IF(ISNUMBER((Datos!L10-Datos!V10)/Datos!V10),(Datos!L10-Datos!V10)/Datos!V10," - ")</f>
        <v>-0.22222222222222221</v>
      </c>
      <c r="F10" s="472">
        <f>IF(ISNUMBER((Datos!M10-Datos!W10)/Datos!W10),(Datos!M10-Datos!W10)/Datos!W10," - ")</f>
        <v>0.3</v>
      </c>
      <c r="G10" s="473">
        <f>IF(ISNUMBER((Datos!N10-Datos!X10)/Datos!X10),(Datos!N10-Datos!X10)/Datos!X10," - ")</f>
        <v>0.7142857142857143</v>
      </c>
      <c r="H10" s="471">
        <f>IF(ISNUMBER(((NºAsuntos!G10/NºAsuntos!E10)-Datos!BD10)/Datos!BD10),((NºAsuntos!G10/NºAsuntos!E10)-Datos!BD10)/Datos!BD10," - ")</f>
        <v>-0.3066666666666667</v>
      </c>
      <c r="I10" s="472">
        <f>IF(ISNUMBER(((NºAsuntos!I10/NºAsuntos!G10)-Datos!BE10)/Datos!BE10),((NºAsuntos!I10/NºAsuntos!G10)-Datos!BE10)/Datos!BE10," - ")</f>
        <v>-0.25213675213675213</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-0.10554561717352409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-1</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0.38140747176368378</v>
      </c>
      <c r="C13" s="1001">
        <f>IF(ISNUMBER(
   IF(J_V="SI",(Datos!J13-Datos!T13)/Datos!T13,(Datos!J13+Datos!Z13-(Datos!T13+Datos!AH13))/(Datos!T13+Datos!AH13))
     ),IF(J_V="SI",(Datos!J13-Datos!T13)/Datos!T13,(Datos!J13+Datos!Z13-(Datos!T13+Datos!AH13))/(Datos!T13+Datos!AH13))," - ")</f>
        <v>4.797047970479705E-2</v>
      </c>
      <c r="D13" s="1001">
        <f>IF(ISNUMBER(
   IF(J_V="SI",(Datos!K13-Datos!U13)/Datos!U13,(Datos!K13+Datos!AA13-(Datos!U13+Datos!AI13))/(Datos!U13+Datos!AI13))
     ),IF(J_V="SI",(Datos!K13-Datos!U13)/Datos!U13,(Datos!K13+Datos!AA13-(Datos!U13+Datos!AI13))/(Datos!U13+Datos!AI13))," - ")</f>
        <v>8.7908011869436198E-2</v>
      </c>
      <c r="E13" s="1001">
        <f>IF(ISNUMBER(
   IF(J_V="SI",(Datos!L13-Datos!V13)/Datos!V13,(Datos!L13+Datos!AB13-(Datos!V13+Datos!AJ13))/(Datos!V13+Datos!AJ13))
     ),IF(J_V="SI",(Datos!L13-Datos!V13)/Datos!V13,(Datos!L13+Datos!AB13-(Datos!V13+Datos!AJ13))/(Datos!V13+Datos!AJ13))," - ")</f>
        <v>0.35708098744045041</v>
      </c>
      <c r="F13" s="1002">
        <f>IF(ISNUMBER((Datos!M13-Datos!W13)/Datos!W13),(Datos!M13-Datos!W13)/Datos!W13," - ")</f>
        <v>6.5708418891170434E-2</v>
      </c>
      <c r="G13" s="1003">
        <f>IF(ISNUMBER((Datos!N13-Datos!X13)/Datos!X13),(Datos!N13-Datos!X13)/Datos!X13," - ")</f>
        <v>0.24007807417046195</v>
      </c>
      <c r="H13" s="1003">
        <f>IF(ISNUMBER(((NºAsuntos!G13/NºAsuntos!E13)-Datos!BD13)/Datos!BD13),((NºAsuntos!G13/NºAsuntos!E13)-Datos!BD13)/Datos!BD13," - ")</f>
        <v>3.8109405692314177E-2</v>
      </c>
      <c r="I13" s="1003">
        <f>IF(ISNUMBER(((NºAsuntos!I13/NºAsuntos!G13)-Datos!BE13)/Datos!BE13),((NºAsuntos!I13/NºAsuntos!G13)-Datos!BE13)/Datos!BE13," - ")</f>
        <v>0.24742255101924793</v>
      </c>
      <c r="J13" s="1003">
        <f>IF(ISNUMBER((('Resol  Asuntos'!D13/NºAsuntos!G13)-Datos!BF13)/Datos!BF13),(('Resol  Asuntos'!D13/NºAsuntos!G13)-Datos!BF13)/Datos!BF13," - ")</f>
        <v>-0.690219225029999</v>
      </c>
      <c r="K13" s="1003">
        <f>IF(ISNUMBER((((NºAsuntos!C13+NºAsuntos!E13)/NºAsuntos!G13)-Datos!BG13)/Datos!BG13),(((NºAsuntos!C13+NºAsuntos!E13)/NºAsuntos!G13)-Datos!BG13)/Datos!BG13," - ")</f>
        <v>0.15622058252760279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9.5917044718081657E-2</v>
      </c>
      <c r="C15" s="472">
        <f>IF(ISNUMBER(
   IF(D_I="SI",(Datos!J15-Datos!T15)/Datos!T15,(Datos!J15+Datos!AD15-(Datos!T15+Datos!AL15))/(Datos!T15+Datos!AL15))
     ),IF(D_I="SI",(Datos!J15-Datos!T15)/Datos!T15,(Datos!J15+Datos!AD15-(Datos!T15+Datos!AL15))/(Datos!T15+Datos!AL15))," - ")</f>
        <v>1.8625954198473283E-2</v>
      </c>
      <c r="D15" s="472">
        <f>IF(ISNUMBER(
   IF(D_I="SI",(Datos!K15-Datos!U15)/Datos!U15,(Datos!K15+Datos!AE15-(Datos!U15+Datos!AM15))/(Datos!U15+Datos!AM15))
     ),IF(D_I="SI",(Datos!K15-Datos!U15)/Datos!U15,(Datos!K15+Datos!AE15-(Datos!U15+Datos!AM15))/(Datos!U15+Datos!AM15))," - ")</f>
        <v>-4.4234739015039815E-3</v>
      </c>
      <c r="E15" s="472">
        <f>IF(ISNUMBER(
   IF(D_I="SI",(Datos!L15-Datos!V15)/Datos!V15,(Datos!L15+Datos!AF15-(Datos!V15+Datos!AN15))/(Datos!V15+Datos!AN15))
     ),IF(D_I="SI",(Datos!L15-Datos!V15)/Datos!V15,(Datos!L15+Datos!AF15-(Datos!V15+Datos!AN15))/(Datos!V15+Datos!AN15))," - ")</f>
        <v>0.15315934065934067</v>
      </c>
      <c r="F15" s="472">
        <f>IF(ISNUMBER((Datos!M15-Datos!W15)/Datos!W15),(Datos!M15-Datos!W15)/Datos!W15," - ")</f>
        <v>-0.18689320388349515</v>
      </c>
      <c r="G15" s="473">
        <f>IF(ISNUMBER((Datos!N15-Datos!X15)/Datos!X15),(Datos!N15-Datos!X15)/Datos!X15," - ")</f>
        <v>6.6666666666666666E-2</v>
      </c>
      <c r="H15" s="471">
        <f>IF(ISNUMBER(((NºAsuntos!G15/NºAsuntos!E15)-Datos!BD15)/Datos!BD15),((NºAsuntos!G15/NºAsuntos!E15)-Datos!BD15)/Datos!BD15," - ")</f>
        <v>-2.2627960739636074E-2</v>
      </c>
      <c r="I15" s="472">
        <f>IF(ISNUMBER(((NºAsuntos!I15/NºAsuntos!G15)-Datos!BE15)/Datos!BE15),((NºAsuntos!I15/NºAsuntos!G15)-Datos!BE15)/Datos!BE15," - ")</f>
        <v>0.15828297517056411</v>
      </c>
      <c r="J15" s="477">
        <f>IF(ISNUMBER((('Resol  Asuntos'!D15/NºAsuntos!G15)-Datos!BF15)/Datos!BF15),(('Resol  Asuntos'!D15/NºAsuntos!G15)-Datos!BF15)/Datos!BF15," - ")</f>
        <v>-0.18328046634150827</v>
      </c>
      <c r="K15" s="478">
        <f>IF(ISNUMBER((((NºAsuntos!C15+NºAsuntos!E15)/NºAsuntos!G15)-Datos!BG15)/Datos!BG15),(((NºAsuntos!C15+NºAsuntos!E15)/NºAsuntos!G15)-Datos!BG15)/Datos!BG15," - ")</f>
        <v>4.8014861823454227E-2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-3.8461538461538464E-2</v>
      </c>
      <c r="C17" s="472">
        <f>IF(ISNUMBER(
   IF(D_I="SI",(Datos!J17-Datos!T17)/Datos!T17,(Datos!J17+Datos!AD17-(Datos!T17+Datos!AL17))/(Datos!T17+Datos!AL17))
     ),IF(D_I="SI",(Datos!J17-Datos!T17)/Datos!T17,(Datos!J17+Datos!AD17-(Datos!T17+Datos!AL17))/(Datos!T17+Datos!AL17))," - ")</f>
        <v>-0.16149068322981366</v>
      </c>
      <c r="D17" s="472">
        <f>IF(ISNUMBER(
   IF(D_I="SI",(Datos!K17-Datos!U17)/Datos!U17,(Datos!K17+Datos!AE17-(Datos!U17+Datos!AM17))/(Datos!U17+Datos!AM17))
     ),IF(D_I="SI",(Datos!K17-Datos!U17)/Datos!U17,(Datos!K17+Datos!AE17-(Datos!U17+Datos!AM17))/(Datos!U17+Datos!AM17))," - ")</f>
        <v>-0.10714285714285714</v>
      </c>
      <c r="E17" s="472">
        <f>IF(ISNUMBER(
   IF(D_I="SI",(Datos!L17-Datos!V17)/Datos!V17,(Datos!L17+Datos!AF17-(Datos!V17+Datos!AN17))/(Datos!V17+Datos!AN17))
     ),IF(D_I="SI",(Datos!L17-Datos!V17)/Datos!V17,(Datos!L17+Datos!AF17-(Datos!V17+Datos!AN17))/(Datos!V17+Datos!AN17))," - ")</f>
        <v>-0.11881188118811881</v>
      </c>
      <c r="F17" s="472">
        <f>IF(ISNUMBER((Datos!M17-Datos!W17)/Datos!W17),(Datos!M17-Datos!W17)/Datos!W17," - ")</f>
        <v>2.1276595744680851E-2</v>
      </c>
      <c r="G17" s="473">
        <f>IF(ISNUMBER((Datos!N17-Datos!X17)/Datos!X17),(Datos!N17-Datos!X17)/Datos!X17," - ")</f>
        <v>-0.13513513513513514</v>
      </c>
      <c r="H17" s="471">
        <f>IF(ISNUMBER(((NºAsuntos!G17/NºAsuntos!E17)-Datos!BD17)/Datos!BD17),((NºAsuntos!G17/NºAsuntos!E17)-Datos!BD17)/Datos!BD17," - ")</f>
        <v>6.4814814814814894E-2</v>
      </c>
      <c r="I17" s="472">
        <f>IF(ISNUMBER(((NºAsuntos!I17/NºAsuntos!G17)-Datos!BE17)/Datos!BE17),((NºAsuntos!I17/NºAsuntos!G17)-Datos!BE17)/Datos!BE17," - ")</f>
        <v>-1.3069306930692949E-2</v>
      </c>
      <c r="J17" s="477">
        <f>IF(ISNUMBER((('Resol  Asuntos'!D17/NºAsuntos!G17)-Datos!BF17)/Datos!BF17),(('Resol  Asuntos'!D17/NºAsuntos!G17)-Datos!BF17)/Datos!BF17," - ")</f>
        <v>0.14382978723404255</v>
      </c>
      <c r="K17" s="478">
        <f>IF(ISNUMBER((((NºAsuntos!C17+NºAsuntos!E17)/NºAsuntos!G17)-Datos!BG17)/Datos!BG17),(((NºAsuntos!C17+NºAsuntos!E17)/NºAsuntos!G17)-Datos!BG17)/Datos!BG17," - ")</f>
        <v>-6.7924528301886557E-3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8.7378640776699032E-2</v>
      </c>
      <c r="C18" s="1001">
        <f>IF(ISNUMBER(
   IF(Criterios!B14="SI",(Datos!J18-Datos!T18)/Datos!T18,(Datos!J18+Datos!AD18-(Datos!T18+Datos!AL18))/(Datos!T18+Datos!AL18))
     ),IF(Criterios!B14="SI",(Datos!J18-Datos!T18)/Datos!T18,(Datos!J18+Datos!AD18-(Datos!T18+Datos!AL18))/(Datos!T18+Datos!AL18))," - ")</f>
        <v>1.0186263096623981E-2</v>
      </c>
      <c r="D18" s="1001">
        <f>IF(ISNUMBER(
   IF(Criterios!B14="SI",(Datos!K18-Datos!U18)/Datos!U18,(Datos!K18+Datos!AE18-(Datos!U18+Datos!AM18))/(Datos!U18+Datos!AM18))
     ),IF(Criterios!B14="SI",(Datos!K18-Datos!U18)/Datos!U18,(Datos!K18+Datos!AE18-(Datos!U18+Datos!AM18))/(Datos!U18+Datos!AM18))," - ")</f>
        <v>-9.2722674908682218E-3</v>
      </c>
      <c r="E18" s="1001">
        <f>IF(ISNUMBER(
   IF(Criterios!B14="SI",(Datos!L18-Datos!V18)/Datos!V18,(Datos!L18+Datos!AF18-(Datos!V18+Datos!AN18))/(Datos!V18+Datos!AN18))
     ),IF(Criterios!B14="SI",(Datos!L18-Datos!V18)/Datos!V18,(Datos!L18+Datos!AF18-(Datos!V18+Datos!AN18))/(Datos!V18+Datos!AN18))," - ")</f>
        <v>0.13543003851091143</v>
      </c>
      <c r="F18" s="1002">
        <f>IF(ISNUMBER((Datos!M18-Datos!W18)/Datos!W18),(Datos!M18-Datos!W18)/Datos!W18," - ")</f>
        <v>-0.16557734204793029</v>
      </c>
      <c r="G18" s="1003">
        <f>IF(ISNUMBER((Datos!N18-Datos!X18)/Datos!X18),(Datos!N18-Datos!X18)/Datos!X18," - ")</f>
        <v>6.0199220441749676E-2</v>
      </c>
      <c r="H18" s="1003">
        <f>IF(ISNUMBER(((NºAsuntos!G18/NºAsuntos!E18)-Datos!BD18)/Datos!BD18),((NºAsuntos!G18/NºAsuntos!E18)-Datos!BD18)/Datos!BD18," - ")</f>
        <v>-1.9262319532879074E-2</v>
      </c>
      <c r="I18" s="1003">
        <f>IF(ISNUMBER(((NºAsuntos!I18/NºAsuntos!G18)-Datos!BE18)/Datos!BE18),((NºAsuntos!I18/NºAsuntos!G18)-Datos!BE18)/Datos!BE18," - ")</f>
        <v>0.14605658169606731</v>
      </c>
      <c r="J18" s="1003">
        <f>IF(ISNUMBER((('Resol  Asuntos'!D18/NºAsuntos!G18)-Datos!BF18)/Datos!BF18),(('Resol  Asuntos'!D18/NºAsuntos!G18)-Datos!BF18)/Datos!BF18," - ")</f>
        <v>-0.15776794110850362</v>
      </c>
      <c r="K18" s="1003">
        <f>IF(ISNUMBER((((NºAsuntos!C18+NºAsuntos!E18)/NºAsuntos!G18)-Datos!BG18)/Datos!BG18),(((NºAsuntos!C18+NºAsuntos!E18)/NºAsuntos!G18)-Datos!BG18)/Datos!BG18," - ")</f>
        <v>4.4897062308408758E-2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0.30390275111964171</v>
      </c>
      <c r="C19" s="948">
        <f>IF(ISNUMBER(
   IF(J_V="SI",(Datos!J19-Datos!T19)/Datos!T19,(Datos!J19+Datos!Z19-(Datos!T19+Datos!AH19))/(Datos!T19+Datos!AH19))
     ),IF(J_V="SI",(Datos!J19-Datos!T19)/Datos!T19,(Datos!J19+Datos!Z19-(Datos!T19+Datos!AH19))/(Datos!T19+Datos!AH19))," - ")</f>
        <v>2.6846729580214775E-2</v>
      </c>
      <c r="D19" s="948">
        <f>IF(ISNUMBER(
   IF(J_V="SI",(Datos!K19-Datos!U19)/Datos!U19,(Datos!K19+Datos!AA19-(Datos!U19+Datos!AI19))/(Datos!U19+Datos!AI19))
     ),IF(J_V="SI",(Datos!K19-Datos!U19)/Datos!U19,(Datos!K19+Datos!AA19-(Datos!U19+Datos!AI19))/(Datos!U19+Datos!AI19))," - ")</f>
        <v>3.2613908872901679E-2</v>
      </c>
      <c r="E19" s="948">
        <f>IF(ISNUMBER(
   IF(J_V="SI",(Datos!L19-Datos!V19)/Datos!V19,(Datos!L19+Datos!AB19-(Datos!V19+Datos!AJ19))/(Datos!V19+Datos!AJ19))
     ),IF(J_V="SI",(Datos!L19-Datos!V19)/Datos!V19,(Datos!L19+Datos!AB19-(Datos!V19+Datos!AJ19))/(Datos!V19+Datos!AJ19))," - ")</f>
        <v>0.30116580310880831</v>
      </c>
      <c r="F19" s="949">
        <f>IF(ISNUMBER((Datos!M19-Datos!W19)/Datos!W19),(Datos!M19-Datos!W19)/Datos!W19," - ")</f>
        <v>-4.6511627906976744E-2</v>
      </c>
      <c r="G19" s="950">
        <f>IF(ISNUMBER((Datos!N19-Datos!X19)/Datos!X19),(Datos!N19-Datos!X19)/Datos!X19," - ")</f>
        <v>0.13208528341133646</v>
      </c>
      <c r="H19" s="951">
        <f>IF(ISNUMBER((Tasas!B19-Datos!BD19)/Datos!BD19),(Tasas!B19-Datos!BD19)/Datos!BD19," - ")</f>
        <v>5.6163973907231764E-3</v>
      </c>
      <c r="I19" s="952">
        <f>IF(ISNUMBER((Tasas!C19-Datos!BE19)/Datos!BE19),(Tasas!C19-Datos!BE19)/Datos!BE19," - ")</f>
        <v>0.26006999511466095</v>
      </c>
      <c r="J19" s="953">
        <f>IF(ISNUMBER((Tasas!D19-Datos!BF19)/Datos!BF19),(Tasas!D19-Datos!BF19)/Datos!BF19," - ")</f>
        <v>-0.56302582317633509</v>
      </c>
      <c r="K19" s="953">
        <f>IF(ISNUMBER((Tasas!E19-Datos!BG19)/Datos!BG19),(Tasas!E19-Datos!BG19)/Datos!BG19," - ")</f>
        <v>0.12971470984000452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ZfV6DH1vETc+CTmEl1Gwope7vLjcmxephnubY4hS0hAjnAJ4XvBtQ/u6NkIE9RDh7964naK7sUbqVF6CvOULA==" saltValue="g4Wf4UGNN9hGW+fUSoUp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ARRECIFE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1.0330960854092526</v>
      </c>
      <c r="C9" s="459">
        <f>IF(ISNUMBER(NºAsuntos!I9/NºAsuntos!G9),NºAsuntos!I9/NºAsuntos!G9," - ")</f>
        <v>2.1539786427833274</v>
      </c>
      <c r="D9" s="460">
        <f>IF(ISNUMBER('Resol  Asuntos'!D9/NºAsuntos!G9),'Resol  Asuntos'!D9/NºAsuntos!G9," - ")</f>
        <v>0.17430244574578022</v>
      </c>
      <c r="E9" s="461">
        <f>IF(ISNUMBER((NºAsuntos!C9+NºAsuntos!E9)/NºAsuntos!G9),(NºAsuntos!C9+NºAsuntos!E9)/NºAsuntos!G9," - ")</f>
        <v>3.1539786427833274</v>
      </c>
      <c r="G9" s="479"/>
    </row>
    <row r="10" spans="1:7">
      <c r="A10" s="413" t="str">
        <f>Datos!A10</f>
        <v>Jdos. Violencia contra la mujer</v>
      </c>
      <c r="B10" s="458">
        <f>IF(ISNUMBER(NºAsuntos!G10/NºAsuntos!E10),NºAsuntos!G10/NºAsuntos!E10," - ")</f>
        <v>0.96296296296296291</v>
      </c>
      <c r="C10" s="459">
        <f>IF(ISNUMBER(NºAsuntos!I10/NºAsuntos!G10),NºAsuntos!I10/NºAsuntos!G10," - ")</f>
        <v>0.53846153846153844</v>
      </c>
      <c r="D10" s="460">
        <f>IF(ISNUMBER('Resol  Asuntos'!D10/NºAsuntos!G10),'Resol  Asuntos'!D10/NºAsuntos!G10," - ")</f>
        <v>0.5</v>
      </c>
      <c r="E10" s="461">
        <f>IF(ISNUMBER((NºAsuntos!C10+NºAsuntos!E10)/NºAsuntos!G10),(NºAsuntos!C10+NºAsuntos!E10)/NºAsuntos!G10," - ")</f>
        <v>1.5384615384615385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1.3333333333333333</v>
      </c>
      <c r="C12" s="459">
        <f>IF(ISNUMBER(NºAsuntos!I12/NºAsuntos!G12),NºAsuntos!I12/NºAsuntos!G12," - ")</f>
        <v>0</v>
      </c>
      <c r="D12" s="460">
        <f>IF(ISNUMBER('Resol  Asuntos'!D12/NºAsuntos!G12),'Resol  Asuntos'!D12/NºAsuntos!G12," - ")</f>
        <v>0</v>
      </c>
      <c r="E12" s="461">
        <f>IF(ISNUMBER((NºAsuntos!C12+NºAsuntos!E12)/NºAsuntos!G12),(NºAsuntos!C12+NºAsuntos!E12)/NºAsuntos!G12," - ")</f>
        <v>1</v>
      </c>
      <c r="G12" s="479"/>
    </row>
    <row r="13" spans="1:7" ht="14.25" thickTop="1" thickBot="1">
      <c r="A13" s="994" t="str">
        <f>Datos!A13</f>
        <v>TOTAL</v>
      </c>
      <c r="B13" s="1004">
        <f>IF(ISNUMBER(NºAsuntos!G13/NºAsuntos!E13),NºAsuntos!G13/NºAsuntos!E13," - ")</f>
        <v>1.0327464788732394</v>
      </c>
      <c r="C13" s="1005">
        <f>IF(ISNUMBER(NºAsuntos!I13/NºAsuntos!G13),NºAsuntos!I13/NºAsuntos!G13," - ")</f>
        <v>2.1367200818274803</v>
      </c>
      <c r="D13" s="1006">
        <f>IF(ISNUMBER('Resol  Asuntos'!D13/NºAsuntos!G13),'Resol  Asuntos'!D13/NºAsuntos!G13," - ")</f>
        <v>0.17695192635526763</v>
      </c>
      <c r="E13" s="1007">
        <f>IF(ISNUMBER((NºAsuntos!C13+NºAsuntos!E13)/NºAsuntos!G13),(NºAsuntos!C13+NºAsuntos!E13)/NºAsuntos!G13," - ")</f>
        <v>3.1367200818274803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1.0119904076738608</v>
      </c>
      <c r="C15" s="459">
        <f>IF(ISNUMBER(NºAsuntos!I15/NºAsuntos!G15),NºAsuntos!I15/NºAsuntos!G15," - ")</f>
        <v>0.49733412322274884</v>
      </c>
      <c r="D15" s="460">
        <f>IF(ISNUMBER('Resol  Asuntos'!D15/NºAsuntos!G15),'Resol  Asuntos'!D15/NºAsuntos!G15," - ")</f>
        <v>9.9229857819905218E-2</v>
      </c>
      <c r="E15" s="461">
        <f>IF(ISNUMBER((NºAsuntos!C15+NºAsuntos!E15)/NºAsuntos!G15),(NºAsuntos!C15+NºAsuntos!E15)/NºAsuntos!G15," - ")</f>
        <v>1.4890402843601895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1.1111111111111112</v>
      </c>
      <c r="C17" s="459">
        <f>IF(ISNUMBER(NºAsuntos!I17/NºAsuntos!G17),NºAsuntos!I17/NºAsuntos!G17," - ")</f>
        <v>0.59333333333333338</v>
      </c>
      <c r="D17" s="460">
        <f>IF(ISNUMBER('Resol  Asuntos'!D17/NºAsuntos!G17),'Resol  Asuntos'!D17/NºAsuntos!G17," - ")</f>
        <v>0.32</v>
      </c>
      <c r="E17" s="461">
        <f>IF(ISNUMBER((NºAsuntos!C17+NºAsuntos!E17)/NºAsuntos!G17),(NºAsuntos!C17+NºAsuntos!E17)/NºAsuntos!G17," - ")</f>
        <v>1.5666666666666667</v>
      </c>
      <c r="G17" s="479"/>
    </row>
    <row r="18" spans="1:7" ht="14.25" thickTop="1" thickBot="1">
      <c r="A18" s="994" t="str">
        <f>Datos!A18</f>
        <v>TOTAL</v>
      </c>
      <c r="B18" s="1004">
        <f>IF(ISNUMBER(NºAsuntos!G18/NºAsuntos!E18),NºAsuntos!G18/NºAsuntos!E18," - ")</f>
        <v>1.0158455776433304</v>
      </c>
      <c r="C18" s="1005">
        <f>IF(ISNUMBER(NºAsuntos!I18/NºAsuntos!G18),NºAsuntos!I18/NºAsuntos!G18," - ")</f>
        <v>0.50170164492342595</v>
      </c>
      <c r="D18" s="1008">
        <f>IF(ISNUMBER('Resol  Asuntos'!D18/NºAsuntos!G18),'Resol  Asuntos'!D18/NºAsuntos!G18," - ")</f>
        <v>0.10862166761202496</v>
      </c>
      <c r="E18" s="1007">
        <f>IF(ISNUMBER((NºAsuntos!C18+NºAsuntos!E18)/NºAsuntos!G18),(NºAsuntos!C18+NºAsuntos!E18)/NºAsuntos!G18," - ")</f>
        <v>1.4926262053318207</v>
      </c>
      <c r="G18" s="479"/>
    </row>
    <row r="19" spans="1:7" ht="15.75" customHeight="1" thickTop="1" thickBot="1">
      <c r="A19" s="939" t="str">
        <f>Datos!A19</f>
        <v>TOTAL JURISDICCIONES</v>
      </c>
      <c r="B19" s="954">
        <f>IF(ISNUMBER(NºAsuntos!G19/NºAsuntos!E19),NºAsuntos!G19/NºAsuntos!E19," - ")</f>
        <v>1.0234511170971321</v>
      </c>
      <c r="C19" s="955">
        <f>IF(ISNUMBER(NºAsuntos!I19/NºAsuntos!G19),NºAsuntos!I19/NºAsuntos!G19," - ")</f>
        <v>1.2441554420188883</v>
      </c>
      <c r="D19" s="956">
        <f>IF(ISNUMBER('Resol  Asuntos'!D19/NºAsuntos!G19),'Resol  Asuntos'!D19/NºAsuntos!G19," - ")</f>
        <v>0.13965010063477318</v>
      </c>
      <c r="E19" s="957">
        <f>IF(ISNUMBER((NºAsuntos!C19+NºAsuntos!E19)/NºAsuntos!G19),(NºAsuntos!C19+NºAsuntos!E19)/NºAsuntos!G19," - ")</f>
        <v>2.2392011147236413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l0emeTAwsAj5/Fb20Hl2cNs4aERfyWJGNt0qXNkgI6zF6ZJwh1ZpgcfefyJm/Rnsns4i0BksOgSHOEOTBb7Ig==" saltValue="RQ2cAJXqltKch287lPp0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ARRECIFE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329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378</v>
      </c>
      <c r="Y9" s="343">
        <f>SUM(W9:X9)</f>
        <v>378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6819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506</v>
      </c>
      <c r="AJ9" s="233" t="str">
        <f>IF(ISNUMBER(Datos!BW9),Datos!BW9," - ")</f>
        <v xml:space="preserve"> - </v>
      </c>
      <c r="AK9" s="232" t="str">
        <f>IF(ISNUMBER(Datos!BX9),Datos!BX9," - ")</f>
        <v xml:space="preserve"> - </v>
      </c>
      <c r="AL9" s="247">
        <f>IF(ISNUMBER(NºAsuntos!G9/NºAsuntos!E9),NºAsuntos!G9/NºAsuntos!E9," - ")</f>
        <v>1.0330960854092526</v>
      </c>
      <c r="AM9" s="264">
        <f>IF(ISNUMBER(((NºAsuntos!I9/NºAsuntos!G9)*11)/factor_trimestre),((NºAsuntos!I9/NºAsuntos!G9)*11)/factor_trimestre," - ")</f>
        <v>6.4619359283499822</v>
      </c>
      <c r="AN9" s="248">
        <f>IF(ISNUMBER('Resol  Asuntos'!D9/NºAsuntos!G9),'Resol  Asuntos'!D9/NºAsuntos!G9," - ")</f>
        <v>0.17430244574578022</v>
      </c>
      <c r="AO9" s="249">
        <f>IF(ISNUMBER((NºAsuntos!C9+NºAsuntos!E9)/NºAsuntos!G9),(NºAsuntos!C9+NºAsuntos!E9)/NºAsuntos!G9," - ")</f>
        <v>3.1539786427833274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26</v>
      </c>
      <c r="X10" s="230">
        <f>IF(ISNUMBER(Datos!Q10),Datos!Q10," - ")</f>
        <v>1</v>
      </c>
      <c r="Y10" s="343">
        <f t="shared" ref="Y10:Y12" si="0">SUM(W10:X10)</f>
        <v>27</v>
      </c>
      <c r="Z10" s="344" t="str">
        <f>IF(ISNUMBER(Datos!CC10),Datos!CC10," - ")</f>
        <v xml:space="preserve"> - </v>
      </c>
      <c r="AA10" s="341">
        <f>IF(ISNUMBER(Datos!L10),Datos!L10,"-")</f>
        <v>14</v>
      </c>
      <c r="AB10" s="343">
        <f>IF(ISNUMBER(Datos!R10),Datos!R10," - ")</f>
        <v>31</v>
      </c>
      <c r="AC10" s="343">
        <f t="shared" ref="AC10:AC12" si="1">IF(ISNUMBER(AA10+AB10),AA10+AB10," - ")</f>
        <v>45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0.96296296296296291</v>
      </c>
      <c r="AM10" s="264">
        <f>IF(ISNUMBER(((NºAsuntos!I10/NºAsuntos!G10)*11)/factor_trimestre),((NºAsuntos!I10/NºAsuntos!G10)*11)/factor_trimestre," - ")</f>
        <v>1.6153846153846152</v>
      </c>
      <c r="AN10" s="248">
        <f>IF(ISNUMBER('Resol  Asuntos'!D10/NºAsuntos!G10),'Resol  Asuntos'!D10/NºAsuntos!G10," - ")</f>
        <v>0.5</v>
      </c>
      <c r="AO10" s="249">
        <f>IF(ISNUMBER((NºAsuntos!C10+NºAsuntos!E10)/NºAsuntos!G10),(NºAsuntos!C10+NºAsuntos!E10)/NºAsuntos!G10," - ")</f>
        <v>1.5384615384615385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45</v>
      </c>
      <c r="Y12" s="343">
        <f t="shared" si="0"/>
        <v>45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f>IF(ISNUMBER(NºAsuntos!G12/NºAsuntos!E12),NºAsuntos!G12/NºAsuntos!E12," - ")</f>
        <v>1.3333333333333333</v>
      </c>
      <c r="AM12" s="264">
        <f>IF(ISNUMBER(((NºAsuntos!I12/NºAsuntos!G12)*11)/factor_trimestre),((NºAsuntos!I12/NºAsuntos!G12)*11)/factor_trimestre," - ")</f>
        <v>0</v>
      </c>
      <c r="AN12" s="248">
        <f>IF(ISNUMBER('Resol  Asuntos'!D12/NºAsuntos!G12),'Resol  Asuntos'!D12/NºAsuntos!G12," - ")</f>
        <v>0</v>
      </c>
      <c r="AO12" s="249">
        <f>IF(ISNUMBER((NºAsuntos!C12+NºAsuntos!E12)/NºAsuntos!G12),(NºAsuntos!C12+NºAsuntos!E12)/NºAsuntos!G12," - ")</f>
        <v>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13</v>
      </c>
      <c r="G13" s="1012">
        <f t="shared" si="3"/>
        <v>13</v>
      </c>
      <c r="H13" s="1011">
        <f t="shared" si="3"/>
        <v>0</v>
      </c>
      <c r="I13" s="1013">
        <f t="shared" si="3"/>
        <v>0</v>
      </c>
      <c r="J13" s="1013">
        <f t="shared" si="3"/>
        <v>0</v>
      </c>
      <c r="K13" s="1013">
        <f t="shared" si="3"/>
        <v>0</v>
      </c>
      <c r="L13" s="1013">
        <f t="shared" si="3"/>
        <v>337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26</v>
      </c>
      <c r="X13" s="1013">
        <f t="shared" si="4"/>
        <v>424</v>
      </c>
      <c r="Y13" s="1014">
        <f t="shared" si="4"/>
        <v>450</v>
      </c>
      <c r="Z13" s="1014">
        <f t="shared" si="4"/>
        <v>0</v>
      </c>
      <c r="AA13" s="1014">
        <f t="shared" si="4"/>
        <v>14</v>
      </c>
      <c r="AB13" s="1014">
        <f t="shared" si="4"/>
        <v>7464</v>
      </c>
      <c r="AC13" s="1014">
        <f t="shared" si="4"/>
        <v>45</v>
      </c>
      <c r="AD13" s="1014">
        <f t="shared" si="4"/>
        <v>0</v>
      </c>
      <c r="AE13" s="1018">
        <f t="shared" si="4"/>
        <v>0</v>
      </c>
      <c r="AF13" s="1011">
        <f t="shared" si="4"/>
        <v>0</v>
      </c>
      <c r="AG13" s="1019">
        <f t="shared" si="4"/>
        <v>0</v>
      </c>
      <c r="AH13" s="1016">
        <f t="shared" si="4"/>
        <v>0</v>
      </c>
      <c r="AI13" s="1011">
        <f t="shared" si="4"/>
        <v>519</v>
      </c>
      <c r="AJ13" s="1013">
        <f t="shared" si="4"/>
        <v>0</v>
      </c>
      <c r="AK13" s="1016">
        <f>SUBTOTAL(9,AK9:AK12)</f>
        <v>0</v>
      </c>
      <c r="AL13" s="1020">
        <f>IF(ISNUMBER(NºAsuntos!G13/NºAsuntos!E13),NºAsuntos!G13/NºAsuntos!E13," - ")</f>
        <v>1.0327464788732394</v>
      </c>
      <c r="AM13" s="1020">
        <f>IF(ISNUMBER(((NºAsuntos!I13/NºAsuntos!G13)*11)/factor_trimestre),((NºAsuntos!I13/NºAsuntos!G13)*11)/factor_trimestre," - ")</f>
        <v>6.4101602454824409</v>
      </c>
      <c r="AN13" s="1021">
        <f>IF(ISNUMBER('Resol  Asuntos'!D13/NºAsuntos!G13),'Resol  Asuntos'!D13/NºAsuntos!G13," - ")</f>
        <v>0.17695192635526763</v>
      </c>
      <c r="AO13" s="1022">
        <f>IF(ISNUMBER((NºAsuntos!C13+NºAsuntos!E13)/NºAsuntos!G13),(NºAsuntos!C13+NºAsuntos!E13)/NºAsuntos!G13," - ")</f>
        <v>3.1367200818274803</v>
      </c>
      <c r="AP13" s="1023" t="str">
        <f t="shared" si="2"/>
        <v xml:space="preserve"> - </v>
      </c>
      <c r="AQ13" s="1023">
        <f>IF(ISNUMBER((H13-W13+K13)/(F13)),(H13-W13+K13)/(F13)," - ")</f>
        <v>-2</v>
      </c>
      <c r="AR13" s="1024">
        <f>IF(ISNUMBER((Datos!P13-Datos!Q13)/(Datos!R13-Datos!P13+Datos!Q13)),(Datos!P13-Datos!Q13)/(Datos!R13-Datos!P13+Datos!Q13)," - ")</f>
        <v>-1.1521652761223678E-2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1719</v>
      </c>
      <c r="G15" s="342">
        <f>IF(ISNUMBER(IF(D_I="SI",Datos!I15,Datos!I15+Datos!AC15)),IF(D_I="SI",Datos!I15,Datos!I15+Datos!AC15)," - ")</f>
        <v>1691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3376</v>
      </c>
      <c r="X15" s="230">
        <f>IF(ISNUMBER(Datos!Q15),Datos!Q15," - ")</f>
        <v>86</v>
      </c>
      <c r="Y15" s="343">
        <f>SUM(W15)</f>
        <v>3376</v>
      </c>
      <c r="Z15" s="344" t="str">
        <f>IF(ISNUMBER(Datos!CC15),Datos!CC15," - ")</f>
        <v xml:space="preserve"> - </v>
      </c>
      <c r="AA15" s="341">
        <f>IF(ISNUMBER(IF(D_I="SI",Datos!L15,Datos!L15+Datos!AF15)),IF(D_I="SI",Datos!L15,Datos!L15+Datos!AF15)," - ")</f>
        <v>1679</v>
      </c>
      <c r="AB15" s="343">
        <f>IF(ISNUMBER(Datos!R15),Datos!R15," - ")</f>
        <v>410</v>
      </c>
      <c r="AC15" s="343">
        <f t="shared" ref="AC15:AC17" si="6">IF(ISNUMBER(AA15+AB15),AA15+AB15," - ")</f>
        <v>2089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335</v>
      </c>
      <c r="AJ15" s="235" t="str">
        <f>IF(ISNUMBER(Datos!BW15),Datos!BW15," - ")</f>
        <v xml:space="preserve"> - </v>
      </c>
      <c r="AK15" s="236" t="str">
        <f>IF(ISNUMBER(Datos!BX15),Datos!BX15," - ")</f>
        <v xml:space="preserve"> - </v>
      </c>
      <c r="AL15" s="247">
        <f>IF(ISNUMBER(NºAsuntos!G15/NºAsuntos!E15),NºAsuntos!G15/NºAsuntos!E15," - ")</f>
        <v>1.0119904076738608</v>
      </c>
      <c r="AM15" s="264">
        <f>IF(ISNUMBER(((NºAsuntos!I15/NºAsuntos!G15)*11)/factor_trimestre),((NºAsuntos!I15/NºAsuntos!G15)*11)/factor_trimestre," - ")</f>
        <v>1.4920023696682465</v>
      </c>
      <c r="AN15" s="248">
        <f>IF(ISNUMBER('Resol  Asuntos'!D15/NºAsuntos!G15),'Resol  Asuntos'!D15/NºAsuntos!G15," - ")</f>
        <v>9.9229857819905218E-2</v>
      </c>
      <c r="AO15" s="249">
        <f>IF(ISNUMBER((NºAsuntos!C15+NºAsuntos!E15)/NºAsuntos!G15),(NºAsuntos!C15+NºAsuntos!E15)/NºAsuntos!G15," - ")</f>
        <v>1.4890402843601895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v>
      </c>
      <c r="G16" s="342">
        <f>IF(ISNUMBER(IF(D_I="SI",Datos!I16,Datos!I16+Datos!AC16)),IF(D_I="SI",Datos!I16,Datos!I16+Datos!AC16)," - ")</f>
        <v>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1</v>
      </c>
      <c r="AB16" s="343">
        <f>IF(ISNUMBER(Datos!R16),Datos!R16," - ")</f>
        <v>0</v>
      </c>
      <c r="AC16" s="343">
        <f t="shared" si="6"/>
        <v>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150</v>
      </c>
      <c r="X17" s="230">
        <f>IF(ISNUMBER(Datos!Q17),Datos!Q17," - ")</f>
        <v>14</v>
      </c>
      <c r="Y17" s="343">
        <f t="shared" si="7"/>
        <v>164</v>
      </c>
      <c r="Z17" s="344" t="str">
        <f>IF(ISNUMBER(Datos!CC17),Datos!CC17," - ")</f>
        <v xml:space="preserve"> - </v>
      </c>
      <c r="AA17" s="341">
        <f>IF(ISNUMBER(Datos!L17),Datos!L17,"-")</f>
        <v>89</v>
      </c>
      <c r="AB17" s="343">
        <f>IF(ISNUMBER(Datos!R17),Datos!R17," - ")</f>
        <v>29</v>
      </c>
      <c r="AC17" s="343">
        <f t="shared" si="6"/>
        <v>118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48</v>
      </c>
      <c r="AJ17" s="235" t="str">
        <f>IF(ISNUMBER(Datos!BW17),Datos!BW17," - ")</f>
        <v xml:space="preserve"> - </v>
      </c>
      <c r="AK17" s="236" t="str">
        <f>IF(ISNUMBER(Datos!BX17),Datos!BX17," - ")</f>
        <v xml:space="preserve"> - </v>
      </c>
      <c r="AL17" s="247">
        <f>IF(ISNUMBER(NºAsuntos!G17/NºAsuntos!E17),NºAsuntos!G17/NºAsuntos!E17," - ")</f>
        <v>1.1111111111111112</v>
      </c>
      <c r="AM17" s="264">
        <f>IF(ISNUMBER(((NºAsuntos!I17/NºAsuntos!G17)*11)/factor_trimestre),((NºAsuntos!I17/NºAsuntos!G17)*11)/factor_trimestre," - ")</f>
        <v>1.7800000000000002</v>
      </c>
      <c r="AN17" s="248">
        <f>IF(ISNUMBER('Resol  Asuntos'!D17/NºAsuntos!G17),'Resol  Asuntos'!D17/NºAsuntos!G17," - ")</f>
        <v>0.32</v>
      </c>
      <c r="AO17" s="249">
        <f>IF(ISNUMBER((NºAsuntos!C17+NºAsuntos!E17)/NºAsuntos!G17),(NºAsuntos!C17+NºAsuntos!E17)/NºAsuntos!G17," - ")</f>
        <v>1.5666666666666667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1720</v>
      </c>
      <c r="G18" s="1012">
        <f>SUBTOTAL(9,G15:G17)</f>
        <v>1792</v>
      </c>
      <c r="H18" s="1011">
        <f t="shared" ref="H18:O18" si="10">SUBTOTAL(9,H14:H17)</f>
        <v>0</v>
      </c>
      <c r="I18" s="1013">
        <f t="shared" si="10"/>
        <v>0</v>
      </c>
      <c r="J18" s="1013">
        <f t="shared" si="10"/>
        <v>0</v>
      </c>
      <c r="K18" s="1013">
        <f t="shared" si="10"/>
        <v>0</v>
      </c>
      <c r="L18" s="1013">
        <f t="shared" si="10"/>
        <v>120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3526</v>
      </c>
      <c r="X18" s="1013">
        <f t="shared" si="11"/>
        <v>100</v>
      </c>
      <c r="Y18" s="1014">
        <f t="shared" si="11"/>
        <v>3540</v>
      </c>
      <c r="Z18" s="1014">
        <f t="shared" si="11"/>
        <v>0</v>
      </c>
      <c r="AA18" s="1014">
        <f t="shared" si="11"/>
        <v>1769</v>
      </c>
      <c r="AB18" s="1014">
        <f t="shared" si="11"/>
        <v>439</v>
      </c>
      <c r="AC18" s="1014">
        <f t="shared" si="11"/>
        <v>2208</v>
      </c>
      <c r="AD18" s="1014">
        <f t="shared" si="11"/>
        <v>0</v>
      </c>
      <c r="AE18" s="1018">
        <f t="shared" si="11"/>
        <v>0</v>
      </c>
      <c r="AF18" s="1011">
        <f t="shared" si="11"/>
        <v>0</v>
      </c>
      <c r="AG18" s="1019">
        <f t="shared" si="11"/>
        <v>0</v>
      </c>
      <c r="AH18" s="1016">
        <f t="shared" si="11"/>
        <v>0</v>
      </c>
      <c r="AI18" s="1011">
        <f t="shared" si="11"/>
        <v>383</v>
      </c>
      <c r="AJ18" s="1013">
        <f t="shared" si="11"/>
        <v>0</v>
      </c>
      <c r="AK18" s="1016">
        <f t="shared" si="11"/>
        <v>0</v>
      </c>
      <c r="AL18" s="1020">
        <f>IF(ISNUMBER(NºAsuntos!G18/NºAsuntos!E18),NºAsuntos!G18/NºAsuntos!E18," - ")</f>
        <v>1.0158455776433304</v>
      </c>
      <c r="AM18" s="1020">
        <f>IF(ISNUMBER(((NºAsuntos!I18/NºAsuntos!G18)*11)/factor_trimestre),((NºAsuntos!I18/NºAsuntos!G18)*11)/factor_trimestre," - ")</f>
        <v>1.5051049347702781</v>
      </c>
      <c r="AN18" s="1021">
        <f>IF(ISNUMBER('Resol  Asuntos'!D18/NºAsuntos!G18),'Resol  Asuntos'!D18/NºAsuntos!G18," - ")</f>
        <v>0.10862166761202496</v>
      </c>
      <c r="AO18" s="1022">
        <f>IF(ISNUMBER((NºAsuntos!C18+NºAsuntos!E18)/NºAsuntos!G18),(NºAsuntos!C18+NºAsuntos!E18)/NºAsuntos!G18," - ")</f>
        <v>1.4926262053318207</v>
      </c>
      <c r="AP18" s="1023" t="str">
        <f t="shared" si="2"/>
        <v xml:space="preserve"> - </v>
      </c>
      <c r="AQ18" s="1023">
        <f>IF(ISNUMBER((H18-W18+K18)/(F18)),(H18-W18+K18)/(F18)," - ")</f>
        <v>-2.0499999999999998</v>
      </c>
      <c r="AR18" s="1024">
        <f>IF(ISNUMBER((Datos!P18-Datos!Q18)/(Datos!R18-Datos!P18+Datos!Q18)),(Datos!P18-Datos!Q18)/(Datos!R18-Datos!P18+Datos!Q18)," - ")</f>
        <v>4.77326968973747E-2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1733</v>
      </c>
      <c r="G19" s="967">
        <f t="shared" si="13"/>
        <v>1805</v>
      </c>
      <c r="H19" s="966">
        <f t="shared" si="13"/>
        <v>0</v>
      </c>
      <c r="I19" s="968">
        <f t="shared" si="13"/>
        <v>0</v>
      </c>
      <c r="J19" s="968">
        <f t="shared" si="13"/>
        <v>0</v>
      </c>
      <c r="K19" s="1027">
        <f t="shared" si="13"/>
        <v>0</v>
      </c>
      <c r="L19" s="968">
        <f t="shared" si="13"/>
        <v>457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3552</v>
      </c>
      <c r="X19" s="967">
        <f t="shared" si="14"/>
        <v>524</v>
      </c>
      <c r="Y19" s="974">
        <f t="shared" si="14"/>
        <v>3990</v>
      </c>
      <c r="Z19" s="974">
        <f t="shared" si="14"/>
        <v>0</v>
      </c>
      <c r="AA19" s="974">
        <f t="shared" si="14"/>
        <v>1783</v>
      </c>
      <c r="AB19" s="974">
        <f t="shared" si="14"/>
        <v>7903</v>
      </c>
      <c r="AC19" s="974">
        <f t="shared" si="14"/>
        <v>2253</v>
      </c>
      <c r="AD19" s="974">
        <f t="shared" si="14"/>
        <v>0</v>
      </c>
      <c r="AE19" s="976">
        <f t="shared" si="14"/>
        <v>0</v>
      </c>
      <c r="AF19" s="977">
        <f t="shared" si="14"/>
        <v>0</v>
      </c>
      <c r="AG19" s="978">
        <f t="shared" si="14"/>
        <v>0</v>
      </c>
      <c r="AH19" s="976">
        <f t="shared" si="14"/>
        <v>0</v>
      </c>
      <c r="AI19" s="966">
        <f t="shared" si="14"/>
        <v>902</v>
      </c>
      <c r="AJ19" s="966">
        <f t="shared" si="14"/>
        <v>0</v>
      </c>
      <c r="AK19" s="976">
        <f t="shared" si="14"/>
        <v>0</v>
      </c>
      <c r="AL19" s="1030">
        <f>IF(ISNUMBER(NºAsuntos!G19/NºAsuntos!E19),NºAsuntos!G19/NºAsuntos!E19," - ")</f>
        <v>1.0234511170971321</v>
      </c>
      <c r="AM19" s="1031">
        <f>IF(ISNUMBER(((NºAsuntos!I19/NºAsuntos!G19)*11)/factor_trimestre),((NºAsuntos!I19/NºAsuntos!G19)*11)/factor_trimestre," - ")</f>
        <v>3.7324663260566648</v>
      </c>
      <c r="AN19" s="1031">
        <f>IF(ISNUMBER('Resol  Asuntos'!D19/NºAsuntos!G19),'Resol  Asuntos'!D19/NºAsuntos!G19," - ")</f>
        <v>0.13965010063477318</v>
      </c>
      <c r="AO19" s="1032">
        <f>IF(ISNUMBER((NºAsuntos!C19+NºAsuntos!E19)/NºAsuntos!G19),(NºAsuntos!C19+NºAsuntos!E19)/NºAsuntos!G19," - ")</f>
        <v>2.2392011147236413</v>
      </c>
      <c r="AP19" s="1033" t="str">
        <f t="shared" si="2"/>
        <v xml:space="preserve"> - </v>
      </c>
      <c r="AQ19" s="1034">
        <f>IF(OR(ISNUMBER(FIND("01",Criterios!A8,1)),ISNUMBER(FIND("02",Criterios!A8,1)),ISNUMBER(FIND("03",Criterios!A8,1)),ISNUMBER(FIND("04",Criterios!A8,1))),(I19-W19+K19)/(F19-K19),(H19-W19+K19)/(F19-K19))</f>
        <v>-2.0496249278707444</v>
      </c>
      <c r="AR19" s="1035">
        <f>IF(ISNUMBER((Datos!P19-Datos!Q19)/(Datos!R19-Datos!P19+Datos!Q19)),(Datos!P19-Datos!Q19)/(Datos!R19-Datos!P19+Datos!Q19)," - ")</f>
        <v>-8.406524466750314E-3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601.66666666666663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2.3979157616563596</v>
      </c>
      <c r="F21" s="256">
        <f>IF(ISNUMBER(STDEV(F8:F18)),STDEV(F8:F18),"-")</f>
        <v>936.89230971334155</v>
      </c>
      <c r="G21" s="257">
        <f>IF(ISNUMBER(STDEV(G8:G18)),STDEV(G8:G18),"-")</f>
        <v>884.20216391200188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1757.4281208629843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232.98743068488236</v>
      </c>
      <c r="AJ21" s="256">
        <f t="shared" si="18"/>
        <v>0</v>
      </c>
      <c r="AK21" s="258">
        <f t="shared" si="18"/>
        <v>0</v>
      </c>
      <c r="AL21" s="253">
        <f t="shared" si="18"/>
        <v>0.12350538199447374</v>
      </c>
      <c r="AM21" s="254">
        <f t="shared" si="18"/>
        <v>2.5851590792239048</v>
      </c>
      <c r="AN21" s="254">
        <f t="shared" si="18"/>
        <v>0.16534500948095471</v>
      </c>
      <c r="AO21" s="255">
        <f t="shared" si="18"/>
        <v>0.86484522450436452</v>
      </c>
      <c r="AP21" s="295" t="str">
        <f t="shared" si="18"/>
        <v>-</v>
      </c>
      <c r="AQ21" s="296">
        <f t="shared" si="18"/>
        <v>3.5355339059327251E-2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OB8VXZ2vizQtjtzfzKDd/Gthv87sVgm3f8PWBgxn/JT9wkvvfWUUUqM8ODL/e7Mn+NkvXntla7hJGUS4XJNHQ==" saltValue="gmcouUdyGkK7MN6vw5GK0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ARRECIFE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6.0796645702306078E-2</v>
      </c>
      <c r="I9" s="359">
        <f>IF(ISNUMBER((Tasas!C9-Datos!BE9)/Datos!BE9),(Tasas!C9-Datos!BE9)/Datos!BE9," - ")</f>
        <v>0.25098433461062575</v>
      </c>
      <c r="J9" s="358">
        <f>IF(ISNUMBER((Tasas!D9-Datos!BF9)/Datos!BF9),(Tasas!D9-Datos!BF9)/Datos!BF9," - ")</f>
        <v>-0.69571122053138623</v>
      </c>
      <c r="K9" s="360">
        <f>IF(ISNUMBER((Tasas!E9-Datos!BG9)/Datos!BG9),(Tasas!E9-Datos!BG9)/Datos!BG9," - ")</f>
        <v>0.15877262102809725</v>
      </c>
      <c r="M9" t="e">
        <f>IF(Monitorios="SI",Datos!CE9,0)</f>
        <v>#REF!</v>
      </c>
      <c r="N9" t="e">
        <f>IF(Monitorios="SI",Datos!CF9,0)</f>
        <v>#REF!</v>
      </c>
      <c r="O9" t="e">
        <f>IF(Monitorios="SI",Datos!CG9,0)</f>
        <v>#REF!</v>
      </c>
      <c r="P9" t="e">
        <f>IF(Monitorios="SI",Datos!CH9,0)</f>
        <v>#REF!</v>
      </c>
      <c r="Q9">
        <f>IF(J_V="SI",0,Datos!AG9)</f>
        <v>164</v>
      </c>
      <c r="R9">
        <f>IF(J_V="SI",0,Datos!AH9)</f>
        <v>143</v>
      </c>
      <c r="S9">
        <f>IF(J_V="SI",0,Datos!AI9)</f>
        <v>156</v>
      </c>
      <c r="T9">
        <f>IF(J_V="SI",0,Datos!AJ9)</f>
        <v>151</v>
      </c>
    </row>
    <row r="10" spans="2:20" ht="14.25">
      <c r="B10" s="279" t="s">
        <v>249</v>
      </c>
      <c r="C10" s="7" t="str">
        <f>Datos!A10</f>
        <v>Jdos. Violencia contra la mujer</v>
      </c>
      <c r="D10" s="361">
        <f>IF(ISNUMBER((Datos!I10-Datos!S10)/Datos!S10),(Datos!I10-Datos!S10)/Datos!S10," - ")</f>
        <v>-0.48</v>
      </c>
      <c r="E10" s="357">
        <f>IF(ISNUMBER((Datos!J10-Datos!T10)/Datos!T10),(Datos!J10-Datos!T10)/Datos!T10," - ")</f>
        <v>0.5</v>
      </c>
      <c r="F10" s="357">
        <f>IF(ISNUMBER((Datos!K10-Datos!U10)/Datos!U10),(Datos!K10-Datos!U10)/Datos!U10," - ")</f>
        <v>0.04</v>
      </c>
      <c r="G10" s="358">
        <f>IF(ISNUMBER((Datos!L10-Datos!V10)/Datos!V10),(Datos!L10-Datos!V10)/Datos!V10," - ")</f>
        <v>-0.22222222222222221</v>
      </c>
      <c r="H10" s="234">
        <f>IF(ISNUMBER((Datos!M10-Datos!W10)/Datos!W10),(Datos!M10-Datos!W10)/Datos!W10," - ")</f>
        <v>0.3</v>
      </c>
      <c r="I10" s="359">
        <f>IF(ISNUMBER((Tasas!C10-Datos!BE10)/Datos!BE10),(Tasas!C10-Datos!BE10)/Datos!BE10," - ")</f>
        <v>-0.25213675213675213</v>
      </c>
      <c r="J10" s="358">
        <f>IF(ISNUMBER((Tasas!D10-Datos!BF10)/Datos!BF10),(Tasas!D10-Datos!BF10)/Datos!BF10," - ")</f>
        <v>0.24999999999999994</v>
      </c>
      <c r="K10" s="360">
        <f>IF(ISNUMBER((Tasas!E10-Datos!BG10)/Datos!BG10),(Tasas!E10-Datos!BG10)/Datos!BG10," - ")</f>
        <v>-0.10554561717352409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6.5708418891170434E-2</v>
      </c>
      <c r="I13" s="366">
        <f>IF(ISNUMBER((Tasas!C13-Datos!BE13)/Datos!BE13),(Tasas!C13-Datos!BE13)/Datos!BE13," - ")</f>
        <v>0.24742255101924793</v>
      </c>
      <c r="J13" s="364">
        <f>IF(ISNUMBER((Tasas!D13-Datos!BF13)/Datos!BF13),(Tasas!D13-Datos!BF13)/Datos!BF13," - ")</f>
        <v>-0.690219225029999</v>
      </c>
      <c r="K13" s="367">
        <f>IF(ISNUMBER((Tasas!E13-Datos!BG13)/Datos!BG13),(Tasas!E13-Datos!BG13)/Datos!BG13," - ")</f>
        <v>0.15622058252760279</v>
      </c>
      <c r="M13" t="e">
        <f>IF(Monitorios="SI",Datos!CE13,0)</f>
        <v>#REF!</v>
      </c>
      <c r="N13" t="e">
        <f>IF(Monitorios="SI",Datos!CF13,0)</f>
        <v>#REF!</v>
      </c>
      <c r="O13" t="e">
        <f>IF(Monitorios="SI",Datos!CG13,0)</f>
        <v>#REF!</v>
      </c>
      <c r="P13" t="e">
        <f>IF(Monitorios="SI",Datos!CH13,0)</f>
        <v>#REF!</v>
      </c>
      <c r="Q13">
        <f>IF(J_V="SI",0,Datos!AG13)</f>
        <v>164</v>
      </c>
      <c r="R13">
        <f>IF(J_V="SI",0,Datos!AH13)</f>
        <v>143</v>
      </c>
      <c r="S13">
        <f>IF(J_V="SI",0,Datos!AI13)</f>
        <v>156</v>
      </c>
      <c r="T13">
        <f>IF(J_V="SI",0,Datos!AJ13)</f>
        <v>151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9.5917044718081657E-2</v>
      </c>
      <c r="E15" s="357">
        <f>IF(ISNUMBER(
   IF(D_I="SI",(Datos!J15-Datos!T15)/Datos!T15,(Datos!J15+Datos!AD15-(Datos!T15+Datos!AL15))/(Datos!T15+Datos!AL15))
     ),IF(D_I="SI",(Datos!J15-Datos!T15)/Datos!T15,(Datos!J15+Datos!AD15-(Datos!T15+Datos!AL15))/(Datos!T15+Datos!AL15))," - ")</f>
        <v>1.8625954198473283E-2</v>
      </c>
      <c r="F15" s="357">
        <f>IF(ISNUMBER(
   IF(D_I="SI",(Datos!K15-Datos!U15)/Datos!U15,(Datos!K15+Datos!AE15-(Datos!U15+Datos!AM15))/(Datos!U15+Datos!AM15))
     ),IF(D_I="SI",(Datos!K15-Datos!U15)/Datos!U15,(Datos!K15+Datos!AE15-(Datos!U15+Datos!AM15))/(Datos!U15+Datos!AM15))," - ")</f>
        <v>-4.4234739015039815E-3</v>
      </c>
      <c r="G15" s="358">
        <f>IF(ISNUMBER(
   IF(D_I="SI",(Datos!L15-Datos!V15)/Datos!V15,(Datos!L15+Datos!AF15-(Datos!V15+Datos!AN15))/(Datos!V15+Datos!AN15))
     ),IF(D_I="SI",(Datos!L15-Datos!V15)/Datos!V15,(Datos!L15+Datos!AF15-(Datos!V15+Datos!AN15))/(Datos!V15+Datos!AN15))," - ")</f>
        <v>0.15315934065934067</v>
      </c>
      <c r="H15" s="234">
        <f>IF(ISNUMBER((Datos!M15-Datos!W15)/Datos!W15),(Datos!M15-Datos!W15)/Datos!W15," - ")</f>
        <v>-0.18689320388349515</v>
      </c>
      <c r="I15" s="359">
        <f>IF(ISNUMBER((Tasas!C15-Datos!BE15)/Datos!BE15),(Tasas!C15-Datos!BE15)/Datos!BE15," - ")</f>
        <v>0.15828297517056411</v>
      </c>
      <c r="J15" s="358">
        <f>IF(ISNUMBER((Tasas!D15-Datos!BF15)/Datos!BF15),(Tasas!D15-Datos!BF15)/Datos!BF15," - ")</f>
        <v>-0.18328046634150827</v>
      </c>
      <c r="K15" s="360">
        <f>IF(ISNUMBER((Tasas!E15-Datos!BG15)/Datos!BG15),(Tasas!E15-Datos!BG15)/Datos!BG15," - ")</f>
        <v>4.8014861823454227E-2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-3.8461538461538464E-2</v>
      </c>
      <c r="E17" s="357">
        <f>IF(ISNUMBER(
   IF(D_I="SI",(Datos!J17-Datos!T17)/Datos!T17,(Datos!J17+Datos!AD17-(Datos!T17+Datos!AL17))/(Datos!T17+Datos!AL17))
     ),IF(D_I="SI",(Datos!J17-Datos!T17)/Datos!T17,(Datos!J17+Datos!AD17-(Datos!T17+Datos!AL17))/(Datos!T17+Datos!AL17))," - ")</f>
        <v>-0.16149068322981366</v>
      </c>
      <c r="F17" s="357">
        <f>IF(ISNUMBER(
   IF(D_I="SI",(Datos!K17-Datos!U17)/Datos!U17,(Datos!K17+Datos!AE17-(Datos!U17+Datos!AM17))/(Datos!U17+Datos!AM17))
     ),IF(D_I="SI",(Datos!K17-Datos!U17)/Datos!U17,(Datos!K17+Datos!AE17-(Datos!U17+Datos!AM17))/(Datos!U17+Datos!AM17))," - ")</f>
        <v>-0.10714285714285714</v>
      </c>
      <c r="G17" s="358">
        <f>IF(ISNUMBER(
   IF(D_I="SI",(Datos!L17-Datos!V17)/Datos!V17,(Datos!L17+Datos!AF17-(Datos!V17+Datos!AN17))/(Datos!V17+Datos!AN17))
     ),IF(D_I="SI",(Datos!L17-Datos!V17)/Datos!V17,(Datos!L17+Datos!AF17-(Datos!V17+Datos!AN17))/(Datos!V17+Datos!AN17))," - ")</f>
        <v>-0.11881188118811881</v>
      </c>
      <c r="H17" s="234">
        <f>IF(ISNUMBER((Datos!M17-Datos!W17)/Datos!W17),(Datos!M17-Datos!W17)/Datos!W17," - ")</f>
        <v>2.1276595744680851E-2</v>
      </c>
      <c r="I17" s="359">
        <f>IF(ISNUMBER((Tasas!C17-Datos!BE17)/Datos!BE17),(Tasas!C17-Datos!BE17)/Datos!BE17," - ")</f>
        <v>-1.3069306930692949E-2</v>
      </c>
      <c r="J17" s="358">
        <f>IF(ISNUMBER((Tasas!D17-Datos!BF17)/Datos!BF17),(Tasas!D17-Datos!BF17)/Datos!BF17," - ")</f>
        <v>0.14382978723404255</v>
      </c>
      <c r="K17" s="360">
        <f>IF(ISNUMBER((Tasas!E17-Datos!BG17)/Datos!BG17),(Tasas!E17-Datos!BG17)/Datos!BG17," - ")</f>
        <v>-6.7924528301886557E-3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8.7378640776699032E-2</v>
      </c>
      <c r="E18" s="363">
        <f>IF(ISNUMBER(
   IF(D_I="SI",(Datos!J18-Datos!T18)/Datos!T18,(Datos!J18+Datos!AD18-(Datos!T18+Datos!AL18))/(Datos!T18+Datos!AL18))
     ),IF(D_I="SI",(Datos!J18-Datos!T18)/Datos!T18,(Datos!J18+Datos!AD18-(Datos!T18+Datos!AL18))/(Datos!T18+Datos!AL18))," - ")</f>
        <v>1.0186263096623981E-2</v>
      </c>
      <c r="F18" s="363">
        <f>IF(ISNUMBER(
   IF(D_I="SI",(Datos!K18-Datos!U18)/Datos!U18,(Datos!K18+Datos!AE18-(Datos!U18+Datos!AM18))/(Datos!U18+Datos!AM18))
     ),IF(D_I="SI",(Datos!K18-Datos!U18)/Datos!U18,(Datos!K18+Datos!AE18-(Datos!U18+Datos!AM18))/(Datos!U18+Datos!AM18))," - ")</f>
        <v>-9.2722674908682218E-3</v>
      </c>
      <c r="G18" s="364">
        <f>IF(ISNUMBER(
   IF(D_I="SI",(Datos!L18-Datos!V18)/Datos!V18,(Datos!L18+Datos!AF18-(Datos!V18+Datos!AN18))/(Datos!V18+Datos!AN18))
     ),IF(D_I="SI",(Datos!L18-Datos!V18)/Datos!V18,(Datos!L18+Datos!AF18-(Datos!V18+Datos!AN18))/(Datos!V18+Datos!AN18))," - ")</f>
        <v>0.13543003851091143</v>
      </c>
      <c r="H18" s="365">
        <f>IF(ISNUMBER((Datos!M18-Datos!W18)/Datos!W18),(Datos!M18-Datos!W18)/Datos!W18," - ")</f>
        <v>-0.16557734204793029</v>
      </c>
      <c r="I18" s="366">
        <f>IF(ISNUMBER((Tasas!C18-Datos!BE18)/Datos!BE18),(Tasas!C18-Datos!BE18)/Datos!BE18," - ")</f>
        <v>0.14605658169606731</v>
      </c>
      <c r="J18" s="364">
        <f>IF(ISNUMBER((Tasas!D18-Datos!BF18)/Datos!BF18),(Tasas!D18-Datos!BF18)/Datos!BF18," - ")</f>
        <v>-0.15776794110850362</v>
      </c>
      <c r="K18" s="367">
        <f>IF(ISNUMBER((Tasas!E18-Datos!BG18)/Datos!BG18),(Tasas!E18-Datos!BG18)/Datos!BG18," - ")</f>
        <v>4.4897062308408758E-2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0.30390275111964171</v>
      </c>
      <c r="E19" s="372">
        <f>IF(ISNUMBER(
   IF(J_V="SI",(Datos!J19-Datos!T19)/Datos!T19,(Datos!J19+Datos!Z19-(Datos!T19+Datos!AH19))/(Datos!T19+Datos!AH19))
     ),IF(J_V="SI",(Datos!J19-Datos!T19)/Datos!T19,(Datos!J19+Datos!Z19-(Datos!T19+Datos!AH19))/(Datos!T19+Datos!AH19))," - ")</f>
        <v>2.6846729580214775E-2</v>
      </c>
      <c r="F19" s="372">
        <f>IF(ISNUMBER(
   IF(J_V="SI",(Datos!K19-Datos!U19)/Datos!U19,(Datos!K19+Datos!AA19-(Datos!U19+Datos!AI19))/(Datos!U19+Datos!AI19))
     ),IF(J_V="SI",(Datos!K19-Datos!U19)/Datos!U19,(Datos!K19+Datos!AA19-(Datos!U19+Datos!AI19))/(Datos!U19+Datos!AI19))," - ")</f>
        <v>3.2613908872901679E-2</v>
      </c>
      <c r="G19" s="373">
        <f>IF(ISNUMBER(
   IF(J_V="SI",(Datos!L19-Datos!V19)/Datos!V19,(Datos!L19+Datos!AB19-(Datos!V19+Datos!AJ19))/(Datos!V19+Datos!AJ19))
     ),IF(J_V="SI",(Datos!L19-Datos!V19)/Datos!V19,(Datos!L19+Datos!AB19-(Datos!V19+Datos!AJ19))/(Datos!V19+Datos!AJ19))," - ")</f>
        <v>0.30116580310880831</v>
      </c>
      <c r="H19" s="374">
        <f>IF(ISNUMBER((Datos!M19-Datos!W19)/Datos!W19),(Datos!M19-Datos!W19)/Datos!W19," - ")</f>
        <v>-4.6511627906976744E-2</v>
      </c>
      <c r="I19" s="371">
        <f>IF(ISNUMBER((Tasas!C19-Datos!BE19)/Datos!BE19),(Tasas!C19-Datos!BE19)/Datos!BE19," - ")</f>
        <v>0.26006999511466095</v>
      </c>
      <c r="J19" s="372">
        <f>IF(ISNUMBER((Tasas!D19-Datos!BF19)/Datos!BF19),(Tasas!D19-Datos!BF19)/Datos!BF19," - ")</f>
        <v>-0.56302582317633509</v>
      </c>
      <c r="K19" s="373">
        <f>IF(ISNUMBER((Tasas!E19-Datos!BG19)/Datos!BG19),(Tasas!E19-Datos!BG19)/Datos!BG19," - ")</f>
        <v>0.12971470984000452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0.23782723060726005</v>
      </c>
      <c r="E21" s="282">
        <f t="shared" si="1"/>
        <v>0.28448705275090641</v>
      </c>
      <c r="F21" s="282">
        <f t="shared" si="1"/>
        <v>6.205216662676976E-2</v>
      </c>
      <c r="G21" s="283">
        <f t="shared" si="1"/>
        <v>0.16182395396154234</v>
      </c>
      <c r="H21" s="289">
        <f t="shared" si="1"/>
        <v>0.17849224805066352</v>
      </c>
      <c r="I21" s="281">
        <f t="shared" si="1"/>
        <v>0.19296764056041701</v>
      </c>
      <c r="J21" s="282">
        <f t="shared" si="1"/>
        <v>0.40146525029950264</v>
      </c>
      <c r="K21" s="283">
        <f t="shared" si="1"/>
        <v>0.10055925869050705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u53HIikPBZVPbMDshceG+ka5ywvSMwoRXR75Lmef+/t6h1zCFNWUzI3UWu4CEMhdQ31FJ6DY53YgKgIcKvR0A==" saltValue="Ibr0/Za61c91zbpEmUeLT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